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jelar\Documents\AnalystSolutions\CONTENT\3 Accurately Forecast\Construct Insightful Financial Forecasts\"/>
    </mc:Choice>
  </mc:AlternateContent>
  <bookViews>
    <workbookView xWindow="0" yWindow="0" windowWidth="21945" windowHeight="7755"/>
  </bookViews>
  <sheets>
    <sheet name="Model" sheetId="1" r:id="rId1"/>
    <sheet name="UNP Bloomberg Segment Revenue" sheetId="2" state="hidden" r:id="rId2"/>
    <sheet name="UNP Bloomberg Income Statement" sheetId="3" state="hidden" r:id="rId3"/>
    <sheet name="UNP Bloomberg Adj Highlights" sheetId="4" state="hidden" r:id="rId4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14" i="1"/>
  <c r="L54" i="1"/>
  <c r="K54" i="1"/>
  <c r="J54" i="1"/>
  <c r="I54" i="1"/>
  <c r="H54" i="1"/>
  <c r="G54" i="1"/>
  <c r="F54" i="1"/>
  <c r="E54" i="1"/>
  <c r="D54" i="1"/>
  <c r="M56" i="1"/>
  <c r="N56" i="1" s="1"/>
  <c r="O56" i="1" s="1"/>
  <c r="L57" i="1"/>
  <c r="K57" i="1"/>
  <c r="J57" i="1"/>
  <c r="I57" i="1"/>
  <c r="H57" i="1"/>
  <c r="G57" i="1"/>
  <c r="F57" i="1"/>
  <c r="E57" i="1"/>
  <c r="D57" i="1"/>
  <c r="D53" i="1"/>
  <c r="E53" i="1"/>
  <c r="F53" i="1"/>
  <c r="G53" i="1"/>
  <c r="H53" i="1"/>
  <c r="I53" i="1"/>
  <c r="J53" i="1"/>
  <c r="K53" i="1"/>
  <c r="L53" i="1"/>
  <c r="C53" i="1"/>
  <c r="L51" i="1"/>
  <c r="K51" i="1"/>
  <c r="J51" i="1"/>
  <c r="I51" i="1"/>
  <c r="H51" i="1"/>
  <c r="G51" i="1"/>
  <c r="F51" i="1"/>
  <c r="E51" i="1"/>
  <c r="D51" i="1"/>
  <c r="G47" i="1"/>
  <c r="K47" i="1"/>
  <c r="D48" i="1"/>
  <c r="D47" i="1" s="1"/>
  <c r="E48" i="1"/>
  <c r="E47" i="1" s="1"/>
  <c r="F48" i="1"/>
  <c r="F47" i="1" s="1"/>
  <c r="G48" i="1"/>
  <c r="H48" i="1"/>
  <c r="H47" i="1" s="1"/>
  <c r="I48" i="1"/>
  <c r="I47" i="1" s="1"/>
  <c r="J48" i="1"/>
  <c r="J47" i="1" s="1"/>
  <c r="K48" i="1"/>
  <c r="L48" i="1"/>
  <c r="L47" i="1" s="1"/>
  <c r="M47" i="1" s="1"/>
  <c r="C48" i="1"/>
  <c r="C47" i="1" s="1"/>
  <c r="N42" i="1"/>
  <c r="O42" i="1"/>
  <c r="M42" i="1"/>
  <c r="L43" i="1"/>
  <c r="K43" i="1"/>
  <c r="J43" i="1"/>
  <c r="I43" i="1"/>
  <c r="H43" i="1"/>
  <c r="G43" i="1"/>
  <c r="F43" i="1"/>
  <c r="E43" i="1"/>
  <c r="D43" i="1"/>
  <c r="D42" i="1"/>
  <c r="E42" i="1"/>
  <c r="F42" i="1"/>
  <c r="G42" i="1"/>
  <c r="H42" i="1"/>
  <c r="I42" i="1"/>
  <c r="J42" i="1"/>
  <c r="K42" i="1"/>
  <c r="L42" i="1"/>
  <c r="C42" i="1"/>
  <c r="M37" i="1"/>
  <c r="N40" i="1"/>
  <c r="O40" i="1" s="1"/>
  <c r="O37" i="1" s="1"/>
  <c r="N38" i="1"/>
  <c r="O38" i="1" s="1"/>
  <c r="M38" i="1"/>
  <c r="L39" i="1"/>
  <c r="K39" i="1"/>
  <c r="J39" i="1"/>
  <c r="I39" i="1"/>
  <c r="H39" i="1"/>
  <c r="G39" i="1"/>
  <c r="F39" i="1"/>
  <c r="E39" i="1"/>
  <c r="D39" i="1"/>
  <c r="E40" i="1"/>
  <c r="F40" i="1"/>
  <c r="G40" i="1"/>
  <c r="H40" i="1"/>
  <c r="I40" i="1"/>
  <c r="J40" i="1"/>
  <c r="K40" i="1"/>
  <c r="L40" i="1"/>
  <c r="D40" i="1"/>
  <c r="N37" i="1" l="1"/>
  <c r="N47" i="1"/>
  <c r="L30" i="1"/>
  <c r="K30" i="1"/>
  <c r="J30" i="1"/>
  <c r="I30" i="1"/>
  <c r="H30" i="1"/>
  <c r="G30" i="1"/>
  <c r="F30" i="1"/>
  <c r="E30" i="1"/>
  <c r="D30" i="1"/>
  <c r="D26" i="1"/>
  <c r="E26" i="1"/>
  <c r="E27" i="1" s="1"/>
  <c r="F26" i="1"/>
  <c r="F32" i="1" s="1"/>
  <c r="G26" i="1"/>
  <c r="G27" i="1" s="1"/>
  <c r="H26" i="1"/>
  <c r="I26" i="1"/>
  <c r="I27" i="1" s="1"/>
  <c r="J26" i="1"/>
  <c r="J32" i="1" s="1"/>
  <c r="K26" i="1"/>
  <c r="K27" i="1" s="1"/>
  <c r="L26" i="1"/>
  <c r="C26" i="1"/>
  <c r="M24" i="1"/>
  <c r="N24" i="1" s="1"/>
  <c r="O24" i="1" s="1"/>
  <c r="L25" i="1"/>
  <c r="K25" i="1"/>
  <c r="J25" i="1"/>
  <c r="I25" i="1"/>
  <c r="H25" i="1"/>
  <c r="G25" i="1"/>
  <c r="F25" i="1"/>
  <c r="E25" i="1"/>
  <c r="D25" i="1"/>
  <c r="L23" i="1"/>
  <c r="K23" i="1"/>
  <c r="J23" i="1"/>
  <c r="I23" i="1"/>
  <c r="H23" i="1"/>
  <c r="G23" i="1"/>
  <c r="F23" i="1"/>
  <c r="E23" i="1"/>
  <c r="D23" i="1"/>
  <c r="N14" i="1"/>
  <c r="O14" i="1" s="1"/>
  <c r="M12" i="1"/>
  <c r="N12" i="1" s="1"/>
  <c r="O12" i="1" s="1"/>
  <c r="M10" i="1"/>
  <c r="M8" i="1"/>
  <c r="N8" i="1" s="1"/>
  <c r="O8" i="1" s="1"/>
  <c r="M6" i="1"/>
  <c r="N6" i="1" s="1"/>
  <c r="M4" i="1"/>
  <c r="N4" i="1" s="1"/>
  <c r="O4" i="1" s="1"/>
  <c r="E16" i="1"/>
  <c r="F16" i="1"/>
  <c r="G16" i="1"/>
  <c r="G19" i="1" s="1"/>
  <c r="H16" i="1"/>
  <c r="H19" i="1" s="1"/>
  <c r="H20" i="1" s="1"/>
  <c r="I16" i="1"/>
  <c r="J16" i="1"/>
  <c r="K16" i="1"/>
  <c r="K19" i="1" s="1"/>
  <c r="L16" i="1"/>
  <c r="L19" i="1" s="1"/>
  <c r="C16" i="1"/>
  <c r="C19" i="1" s="1"/>
  <c r="D16" i="1"/>
  <c r="D19" i="1" s="1"/>
  <c r="D20" i="1" s="1"/>
  <c r="L15" i="1"/>
  <c r="K15" i="1"/>
  <c r="J15" i="1"/>
  <c r="I15" i="1"/>
  <c r="H15" i="1"/>
  <c r="G15" i="1"/>
  <c r="F15" i="1"/>
  <c r="E15" i="1"/>
  <c r="D15" i="1"/>
  <c r="L13" i="1"/>
  <c r="K13" i="1"/>
  <c r="J13" i="1"/>
  <c r="I13" i="1"/>
  <c r="H13" i="1"/>
  <c r="G13" i="1"/>
  <c r="F13" i="1"/>
  <c r="E13" i="1"/>
  <c r="D13" i="1"/>
  <c r="L11" i="1"/>
  <c r="K11" i="1"/>
  <c r="J11" i="1"/>
  <c r="I11" i="1"/>
  <c r="H11" i="1"/>
  <c r="G11" i="1"/>
  <c r="F11" i="1"/>
  <c r="E11" i="1"/>
  <c r="D11" i="1"/>
  <c r="L9" i="1"/>
  <c r="K9" i="1"/>
  <c r="J9" i="1"/>
  <c r="I9" i="1"/>
  <c r="H9" i="1"/>
  <c r="G9" i="1"/>
  <c r="F9" i="1"/>
  <c r="E9" i="1"/>
  <c r="D9" i="1"/>
  <c r="L7" i="1"/>
  <c r="K7" i="1"/>
  <c r="J7" i="1"/>
  <c r="I7" i="1"/>
  <c r="H7" i="1"/>
  <c r="G7" i="1"/>
  <c r="F7" i="1"/>
  <c r="E7" i="1"/>
  <c r="D7" i="1"/>
  <c r="E5" i="1"/>
  <c r="F5" i="1"/>
  <c r="G5" i="1"/>
  <c r="H5" i="1"/>
  <c r="I5" i="1"/>
  <c r="J5" i="1"/>
  <c r="K5" i="1"/>
  <c r="L5" i="1"/>
  <c r="D5" i="1"/>
  <c r="D25" i="4"/>
  <c r="H23" i="4"/>
  <c r="L19" i="4"/>
  <c r="F18" i="4"/>
  <c r="J16" i="4"/>
  <c r="D15" i="4"/>
  <c r="H13" i="4"/>
  <c r="L10" i="4"/>
  <c r="F9" i="4"/>
  <c r="J7" i="4"/>
  <c r="D6" i="4"/>
  <c r="G18" i="4"/>
  <c r="I13" i="4"/>
  <c r="C7" i="4"/>
  <c r="I24" i="4"/>
  <c r="C23" i="4"/>
  <c r="G19" i="4"/>
  <c r="K17" i="4"/>
  <c r="E16" i="4"/>
  <c r="I14" i="4"/>
  <c r="C13" i="4"/>
  <c r="G10" i="4"/>
  <c r="K8" i="4"/>
  <c r="E7" i="4"/>
  <c r="E25" i="4"/>
  <c r="K18" i="4"/>
  <c r="G14" i="4"/>
  <c r="C9" i="4"/>
  <c r="F25" i="4"/>
  <c r="J23" i="4"/>
  <c r="D20" i="4"/>
  <c r="H18" i="4"/>
  <c r="L16" i="4"/>
  <c r="F15" i="4"/>
  <c r="J13" i="4"/>
  <c r="D12" i="4"/>
  <c r="H9" i="4"/>
  <c r="L7" i="4"/>
  <c r="F6" i="4"/>
  <c r="G20" i="4"/>
  <c r="E15" i="4"/>
  <c r="G9" i="4"/>
  <c r="L17" i="4"/>
  <c r="J14" i="4"/>
  <c r="H10" i="4"/>
  <c r="F7" i="4"/>
  <c r="E17" i="4"/>
  <c r="K25" i="4"/>
  <c r="E24" i="4"/>
  <c r="C19" i="4"/>
  <c r="K15" i="4"/>
  <c r="C10" i="4"/>
  <c r="K6" i="4"/>
  <c r="K12" i="4"/>
  <c r="L24" i="4"/>
  <c r="J19" i="4"/>
  <c r="H16" i="4"/>
  <c r="F13" i="4"/>
  <c r="D9" i="4"/>
  <c r="I25" i="4"/>
  <c r="I8" i="4"/>
  <c r="L25" i="4"/>
  <c r="J20" i="4"/>
  <c r="L15" i="4"/>
  <c r="J12" i="4"/>
  <c r="H8" i="4"/>
  <c r="K20" i="4"/>
  <c r="K9" i="4"/>
  <c r="K23" i="4"/>
  <c r="I18" i="4"/>
  <c r="G15" i="4"/>
  <c r="E12" i="4"/>
  <c r="C8" i="4"/>
  <c r="E23" i="4"/>
  <c r="I10" i="4"/>
  <c r="H24" i="4"/>
  <c r="F19" i="4"/>
  <c r="D16" i="4"/>
  <c r="L12" i="4"/>
  <c r="J8" i="4"/>
  <c r="G24" i="4"/>
  <c r="E13" i="4"/>
  <c r="H25" i="4"/>
  <c r="J18" i="4"/>
  <c r="H15" i="4"/>
  <c r="F12" i="4"/>
  <c r="D8" i="4"/>
  <c r="I19" i="4"/>
  <c r="E8" i="4"/>
  <c r="G23" i="4"/>
  <c r="E18" i="4"/>
  <c r="C15" i="4"/>
  <c r="K10" i="4"/>
  <c r="I7" i="4"/>
  <c r="C20" i="4"/>
  <c r="E10" i="4"/>
  <c r="D24" i="4"/>
  <c r="L18" i="4"/>
  <c r="J15" i="4"/>
  <c r="H12" i="4"/>
  <c r="F8" i="4"/>
  <c r="I23" i="4"/>
  <c r="C12" i="4"/>
  <c r="J24" i="4"/>
  <c r="D23" i="4"/>
  <c r="H19" i="4"/>
  <c r="F16" i="4"/>
  <c r="D13" i="4"/>
  <c r="L8" i="4"/>
  <c r="K24" i="4"/>
  <c r="G12" i="4"/>
  <c r="I20" i="4"/>
  <c r="G17" i="4"/>
  <c r="E14" i="4"/>
  <c r="I12" i="4"/>
  <c r="G8" i="4"/>
  <c r="C24" i="4"/>
  <c r="I17" i="4"/>
  <c r="G7" i="4"/>
  <c r="F23" i="4"/>
  <c r="D18" i="4"/>
  <c r="L14" i="4"/>
  <c r="J10" i="4"/>
  <c r="H7" i="4"/>
  <c r="E19" i="4"/>
  <c r="C14" i="4"/>
  <c r="F24" i="4"/>
  <c r="D19" i="4"/>
  <c r="H17" i="4"/>
  <c r="F14" i="4"/>
  <c r="D10" i="4"/>
  <c r="L6" i="4"/>
  <c r="C16" i="4"/>
  <c r="G25" i="4"/>
  <c r="E20" i="4"/>
  <c r="C17" i="4"/>
  <c r="K13" i="4"/>
  <c r="I9" i="4"/>
  <c r="G6" i="4"/>
  <c r="K16" i="4"/>
  <c r="E6" i="4"/>
  <c r="L20" i="4"/>
  <c r="J17" i="4"/>
  <c r="H14" i="4"/>
  <c r="F10" i="4"/>
  <c r="D7" i="4"/>
  <c r="C18" i="4"/>
  <c r="K7" i="4"/>
  <c r="L23" i="4"/>
  <c r="F20" i="4"/>
  <c r="D17" i="4"/>
  <c r="L13" i="4"/>
  <c r="J9" i="4"/>
  <c r="H6" i="4"/>
  <c r="K14" i="4"/>
  <c r="C25" i="4"/>
  <c r="K19" i="4"/>
  <c r="I16" i="4"/>
  <c r="G13" i="4"/>
  <c r="E9" i="4"/>
  <c r="C6" i="4"/>
  <c r="I15" i="4"/>
  <c r="J25" i="4"/>
  <c r="H20" i="4"/>
  <c r="F17" i="4"/>
  <c r="D14" i="4"/>
  <c r="L9" i="4"/>
  <c r="J6" i="4"/>
  <c r="G16" i="4"/>
  <c r="I6" i="4"/>
  <c r="O47" i="1" l="1"/>
  <c r="K17" i="1"/>
  <c r="G17" i="1"/>
  <c r="I17" i="1"/>
  <c r="E17" i="1"/>
  <c r="L20" i="1"/>
  <c r="M19" i="1"/>
  <c r="N19" i="1" s="1"/>
  <c r="O19" i="1" s="1"/>
  <c r="J35" i="1"/>
  <c r="F35" i="1"/>
  <c r="F17" i="1"/>
  <c r="J17" i="1"/>
  <c r="J19" i="1"/>
  <c r="K20" i="1" s="1"/>
  <c r="F27" i="1"/>
  <c r="J27" i="1"/>
  <c r="C32" i="1"/>
  <c r="C35" i="1" s="1"/>
  <c r="I32" i="1"/>
  <c r="J33" i="1" s="1"/>
  <c r="E32" i="1"/>
  <c r="I19" i="1"/>
  <c r="I20" i="1" s="1"/>
  <c r="E19" i="1"/>
  <c r="E20" i="1" s="1"/>
  <c r="L32" i="1"/>
  <c r="H32" i="1"/>
  <c r="D32" i="1"/>
  <c r="I35" i="1"/>
  <c r="D17" i="1"/>
  <c r="H17" i="1"/>
  <c r="L17" i="1"/>
  <c r="D27" i="1"/>
  <c r="H27" i="1"/>
  <c r="L27" i="1"/>
  <c r="K32" i="1"/>
  <c r="K33" i="1" s="1"/>
  <c r="G32" i="1"/>
  <c r="G33" i="1" s="1"/>
  <c r="F19" i="1"/>
  <c r="M16" i="1"/>
  <c r="N10" i="1"/>
  <c r="O10" i="1" s="1"/>
  <c r="O6" i="1"/>
  <c r="O16" i="1" l="1"/>
  <c r="O22" i="1" s="1"/>
  <c r="O26" i="1" s="1"/>
  <c r="H33" i="1"/>
  <c r="K35" i="1"/>
  <c r="K36" i="1" s="1"/>
  <c r="D33" i="1"/>
  <c r="F36" i="1"/>
  <c r="D35" i="1"/>
  <c r="D36" i="1" s="1"/>
  <c r="N16" i="1"/>
  <c r="N22" i="1" s="1"/>
  <c r="O23" i="1" s="1"/>
  <c r="F20" i="1"/>
  <c r="E33" i="1"/>
  <c r="F33" i="1"/>
  <c r="H35" i="1"/>
  <c r="E35" i="1"/>
  <c r="E36" i="1" s="1"/>
  <c r="M32" i="1"/>
  <c r="N32" i="1" s="1"/>
  <c r="O32" i="1" s="1"/>
  <c r="L33" i="1"/>
  <c r="I33" i="1"/>
  <c r="J20" i="1"/>
  <c r="G20" i="1"/>
  <c r="J36" i="1"/>
  <c r="G35" i="1"/>
  <c r="G36" i="1" s="1"/>
  <c r="L35" i="1"/>
  <c r="L36" i="1" s="1"/>
  <c r="M17" i="1"/>
  <c r="M22" i="1"/>
  <c r="M26" i="1" s="1"/>
  <c r="O17" i="1" l="1"/>
  <c r="N26" i="1"/>
  <c r="N29" i="1" s="1"/>
  <c r="H36" i="1"/>
  <c r="N17" i="1"/>
  <c r="I36" i="1"/>
  <c r="M23" i="1"/>
  <c r="N23" i="1"/>
  <c r="O29" i="1"/>
  <c r="O35" i="1"/>
  <c r="O45" i="1" s="1"/>
  <c r="O48" i="1" s="1"/>
  <c r="O50" i="1" s="1"/>
  <c r="N27" i="1" l="1"/>
  <c r="N35" i="1"/>
  <c r="N45" i="1" s="1"/>
  <c r="N48" i="1" s="1"/>
  <c r="N50" i="1" s="1"/>
  <c r="O51" i="1" s="1"/>
  <c r="O27" i="1"/>
  <c r="O53" i="1"/>
  <c r="O30" i="1"/>
  <c r="M35" i="1"/>
  <c r="M27" i="1"/>
  <c r="M29" i="1"/>
  <c r="M30" i="1" s="1"/>
  <c r="O36" i="1" l="1"/>
  <c r="N53" i="1"/>
  <c r="O54" i="1" s="1"/>
  <c r="M36" i="1"/>
  <c r="M45" i="1"/>
  <c r="M48" i="1" s="1"/>
  <c r="M50" i="1" s="1"/>
  <c r="N30" i="1"/>
  <c r="N36" i="1"/>
  <c r="M51" i="1" l="1"/>
  <c r="M53" i="1"/>
  <c r="N51" i="1"/>
  <c r="M54" i="1" l="1"/>
  <c r="N54" i="1"/>
</calcChain>
</file>

<file path=xl/sharedStrings.xml><?xml version="1.0" encoding="utf-8"?>
<sst xmlns="http://schemas.openxmlformats.org/spreadsheetml/2006/main" count="369" uniqueCount="194">
  <si>
    <t>FY 2007</t>
  </si>
  <si>
    <t>FY 2008</t>
  </si>
  <si>
    <t>FY 2009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</si>
  <si>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</si>
  <si>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</si>
  <si>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</si>
  <si>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</si>
  <si>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</si>
  <si>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</si>
  <si>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</si>
  <si>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</si>
  <si>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</si>
  <si>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</si>
  <si>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Revenue Forecast</t>
  </si>
  <si>
    <t>Actual / Consensus Revenue</t>
  </si>
  <si>
    <t>Segment Name</t>
  </si>
  <si>
    <t>Revenue</t>
  </si>
  <si>
    <t>Freight Revenue</t>
  </si>
  <si>
    <t>Other Revenues</t>
  </si>
  <si>
    <t>Revenue Per Unit</t>
  </si>
  <si>
    <t>Carloads/Unit Volumes</t>
  </si>
  <si>
    <t>Intermodal</t>
  </si>
  <si>
    <t>Coal</t>
  </si>
  <si>
    <t>Industrial Products</t>
  </si>
  <si>
    <t>Chemicals</t>
  </si>
  <si>
    <t>Agricultural</t>
  </si>
  <si>
    <t>Automotive</t>
  </si>
  <si>
    <t>Union Pacific Corp (UNP US) - Adjusted</t>
  </si>
  <si>
    <t>In Millions of USD except Per Share</t>
  </si>
  <si>
    <t>FY 2017 Est</t>
  </si>
  <si>
    <t>FY 2018 Est</t>
  </si>
  <si>
    <t>12 Months Ending</t>
  </si>
  <si>
    <t>12/31/2007</t>
  </si>
  <si>
    <t>12/31/2008</t>
  </si>
  <si>
    <t>12/31/2009</t>
  </si>
  <si>
    <t>12/31/2010</t>
  </si>
  <si>
    <t>12/31/2011</t>
  </si>
  <si>
    <t>12/31/2012</t>
  </si>
  <si>
    <t>12/31/2013</t>
  </si>
  <si>
    <t>12/31/2014</t>
  </si>
  <si>
    <t>12/31/2015</t>
  </si>
  <si>
    <t>12/31/2016</t>
  </si>
  <si>
    <t>12/31/2017</t>
  </si>
  <si>
    <t>12/31/2018</t>
  </si>
  <si>
    <t>SALES_REV_TURN</t>
  </si>
  <si>
    <t xml:space="preserve">    Sales &amp; Services Revenue</t>
  </si>
  <si>
    <t>IS_SALES_AND_SERVICES_REVENUES</t>
  </si>
  <si>
    <t>—</t>
  </si>
  <si>
    <t xml:space="preserve">    Other Revenue</t>
  </si>
  <si>
    <t>IS_OTHER_REVENUE</t>
  </si>
  <si>
    <t>Gross Profit</t>
  </si>
  <si>
    <t>GROSS_PROFIT</t>
  </si>
  <si>
    <t xml:space="preserve">  Other Operating Income</t>
  </si>
  <si>
    <t>IS_OTHER_OPER_INC</t>
  </si>
  <si>
    <t xml:space="preserve">  Operating Expenses</t>
  </si>
  <si>
    <t>IS_OPERATING_EXPN</t>
  </si>
  <si>
    <t xml:space="preserve">    Research &amp; Development</t>
  </si>
  <si>
    <t>IS_OPEX_R&amp;D</t>
  </si>
  <si>
    <t xml:space="preserve">    Depreciation &amp; Amortization</t>
  </si>
  <si>
    <t>IS_DEPRECIATION_AND_AMORTIZATION</t>
  </si>
  <si>
    <t xml:space="preserve">    Other Operating Expense</t>
  </si>
  <si>
    <t>IS_OTHER_OPERATING_EXPENSES</t>
  </si>
  <si>
    <t>Operating Income (Loss)</t>
  </si>
  <si>
    <t>IS_OPER_INC</t>
  </si>
  <si>
    <t xml:space="preserve">  Non-Operating (Income) Loss</t>
  </si>
  <si>
    <t>IS_NONOP_INCOME_LOSS</t>
  </si>
  <si>
    <t xml:space="preserve">    Interest Expense, Net</t>
  </si>
  <si>
    <t>IS_NET_INTEREST_EXPENSE</t>
  </si>
  <si>
    <t xml:space="preserve">    Interest Expense</t>
  </si>
  <si>
    <t>IS_INT_EXPENSE</t>
  </si>
  <si>
    <t xml:space="preserve">    Interest Income</t>
  </si>
  <si>
    <t>IS_INT_INC</t>
  </si>
  <si>
    <t xml:space="preserve">    Foreign Exch (Gain) Loss</t>
  </si>
  <si>
    <t>IS_FOREIGN_EXCH_LOSS</t>
  </si>
  <si>
    <t xml:space="preserve">    (Income) Loss from Affiliates</t>
  </si>
  <si>
    <t>INCOME_LOSS_FROM_AFFILIATES</t>
  </si>
  <si>
    <t xml:space="preserve">    Other Non-Op (Income) Loss</t>
  </si>
  <si>
    <t>IS_OTHER_NON_OPERATING_INC_LOSS</t>
  </si>
  <si>
    <t>Pretax Income (Loss), Adjusted</t>
  </si>
  <si>
    <t>PRETAX_INC</t>
  </si>
  <si>
    <t xml:space="preserve">  Abnormal Losses (Gains)</t>
  </si>
  <si>
    <t>IS_ABNORMAL_ITEM</t>
  </si>
  <si>
    <t xml:space="preserve">    Disposal of Assets</t>
  </si>
  <si>
    <t>IS_GAIN_LOSS_DISPOSAL_ASSETS</t>
  </si>
  <si>
    <t xml:space="preserve">    Early Extinguishment of Debt</t>
  </si>
  <si>
    <t>IS_G_L_ON_EXT_DBT_OR_SETTLE_DBT</t>
  </si>
  <si>
    <t xml:space="preserve">    Asset Write-Down</t>
  </si>
  <si>
    <t>IS_IMPAIRMENT_ASSETS</t>
  </si>
  <si>
    <t xml:space="preserve">    Impairment of Goodwill</t>
  </si>
  <si>
    <t>IS_IMPAIRMENT_GOODWILL_INTANGIBL</t>
  </si>
  <si>
    <t>Pretax Income (Loss), GAAP</t>
  </si>
  <si>
    <t xml:space="preserve">  Income Tax Expense (Benefit)</t>
  </si>
  <si>
    <t>IS_INC_TAX_EXP</t>
  </si>
  <si>
    <t xml:space="preserve">    Current Income Tax</t>
  </si>
  <si>
    <t>IS_CURRENT_INCOME_TAX_BENEFIT</t>
  </si>
  <si>
    <t xml:space="preserve">    Deferred Income Tax</t>
  </si>
  <si>
    <t>IS_DEFERRED_INCOME_TAX_BENEFIT</t>
  </si>
  <si>
    <t>Income (Loss) from Cont Ops</t>
  </si>
  <si>
    <t>IS_INC_BEF_XO_ITEM</t>
  </si>
  <si>
    <t xml:space="preserve">  Net Extraordinary Losses (Gains)</t>
  </si>
  <si>
    <t>XO_GL_NET_OF_TAX</t>
  </si>
  <si>
    <t xml:space="preserve">    Discontinued Operations</t>
  </si>
  <si>
    <t>IS_DISCONTINUED_OPERATIONS</t>
  </si>
  <si>
    <t xml:space="preserve">    XO &amp; Accounting Changes</t>
  </si>
  <si>
    <t>IS_EXTRAORD_ITEMS_&amp;_ACCTG_CHNG</t>
  </si>
  <si>
    <t>Income (Loss) Incl. MI</t>
  </si>
  <si>
    <t>NI_INCLUDING_MINORITY_INT_RATIO</t>
  </si>
  <si>
    <t xml:space="preserve">  Minority Interest</t>
  </si>
  <si>
    <t>MIN_NONCONTROL_INTEREST_CREDITS</t>
  </si>
  <si>
    <t>Net Income, GAAP</t>
  </si>
  <si>
    <t>NET_INCOME</t>
  </si>
  <si>
    <t xml:space="preserve">  Preferred Dividends</t>
  </si>
  <si>
    <t>IS_TOT_CASH_PFD_DVD</t>
  </si>
  <si>
    <t xml:space="preserve">  Other Adjustments</t>
  </si>
  <si>
    <t>OTHER_ADJUSTMENTS</t>
  </si>
  <si>
    <t>Net Income Avail to Common, GAAP</t>
  </si>
  <si>
    <t>EARN_FOR_COMMON</t>
  </si>
  <si>
    <t>Net Income Avail to Common, Adj</t>
  </si>
  <si>
    <t xml:space="preserve">  Net Abnormal Losses (Gains)</t>
  </si>
  <si>
    <t>IS_NET_ABNORMAL_ITEMS</t>
  </si>
  <si>
    <t>Basic Weighted Avg Shares</t>
  </si>
  <si>
    <t>IS_AVG_NUM_SH_FOR_EPS</t>
  </si>
  <si>
    <t>Basic EPS, GAAP</t>
  </si>
  <si>
    <t>IS_EPS</t>
  </si>
  <si>
    <t>Basic EPS from Cont Ops</t>
  </si>
  <si>
    <t>IS_EARN_BEF_XO_ITEMS_PER_SH</t>
  </si>
  <si>
    <t>Basic EPS from Cont Ops, Adjusted</t>
  </si>
  <si>
    <t>IS_BASIC_EPS_CONT_OPS</t>
  </si>
  <si>
    <t>Diluted Weighted Avg Shares</t>
  </si>
  <si>
    <t>IS_SH_FOR_DILUTED_EPS</t>
  </si>
  <si>
    <t>Diluted EPS, GAAP</t>
  </si>
  <si>
    <t>IS_DILUTED_EPS</t>
  </si>
  <si>
    <t>Diluted EPS from Cont Ops</t>
  </si>
  <si>
    <t>IS_DIL_EPS_BEF_XO</t>
  </si>
  <si>
    <t>Diluted EPS from Cont Ops, Adjusted</t>
  </si>
  <si>
    <t>IS_DIL_EPS_CONT_OPS</t>
  </si>
  <si>
    <t>Source: Bloomberg</t>
  </si>
  <si>
    <t>Right click to show data transparency (not supported for all values)</t>
  </si>
  <si>
    <t xml:space="preserve">  YoY%</t>
  </si>
  <si>
    <t>Total</t>
  </si>
  <si>
    <t>Revenue per unit</t>
  </si>
  <si>
    <t>Total Revenue</t>
  </si>
  <si>
    <t>Operating Margin</t>
  </si>
  <si>
    <t xml:space="preserve">  YoY Point Change</t>
  </si>
  <si>
    <t>Operating Income</t>
  </si>
  <si>
    <t>2007A</t>
  </si>
  <si>
    <t>2008A</t>
  </si>
  <si>
    <t>2009A</t>
  </si>
  <si>
    <t>2010A</t>
  </si>
  <si>
    <t>2011A</t>
  </si>
  <si>
    <t>2012A</t>
  </si>
  <si>
    <t>2013A</t>
  </si>
  <si>
    <t>2014A</t>
  </si>
  <si>
    <t>2015A</t>
  </si>
  <si>
    <t>2016A</t>
  </si>
  <si>
    <t>2017E</t>
  </si>
  <si>
    <t>2018E</t>
  </si>
  <si>
    <t>2019E</t>
  </si>
  <si>
    <t>Union Pacific Corp (UNP US) - Adj Highlights</t>
  </si>
  <si>
    <t>In Millions of USD</t>
  </si>
  <si>
    <t>Market Capitalization</t>
  </si>
  <si>
    <t>HISTORICAL_MARKET_CAP</t>
  </si>
  <si>
    <t>Cash &amp; Equivalents</t>
  </si>
  <si>
    <t>CASH_AND_MARKETABLE_SECURITIES</t>
  </si>
  <si>
    <t>Preferred &amp; Other</t>
  </si>
  <si>
    <t>PREFERRED_EQUITY_&amp;_MINORITY_INT</t>
  </si>
  <si>
    <t>Total Debt</t>
  </si>
  <si>
    <t>SHORT_AND_LONG_TERM_DEBT</t>
  </si>
  <si>
    <t>Enterprise Value</t>
  </si>
  <si>
    <t>ENTERPRISE_VALUE</t>
  </si>
  <si>
    <t>Revenue, Adj</t>
  </si>
  <si>
    <t xml:space="preserve">  Growth %, YoY</t>
  </si>
  <si>
    <t>SALES_GROWTH</t>
  </si>
  <si>
    <t>Gross Profit, Adj</t>
  </si>
  <si>
    <t xml:space="preserve">  Margin %</t>
  </si>
  <si>
    <t>GROSS_MARGIN</t>
  </si>
  <si>
    <t>EBITDA, Adj</t>
  </si>
  <si>
    <t>EBITDA</t>
  </si>
  <si>
    <t>EBITDA_TO_REVENUE</t>
  </si>
  <si>
    <t>Net Income, Adj</t>
  </si>
  <si>
    <t>NET_INCOME_TO_COMMON_MARGIN</t>
  </si>
  <si>
    <t>EPS, Adj</t>
  </si>
  <si>
    <t>Cash from Operations</t>
  </si>
  <si>
    <t>CF_CASH_FROM_OPER</t>
  </si>
  <si>
    <t>Capital Expenditures</t>
  </si>
  <si>
    <t>CAPITAL_EXPEND</t>
  </si>
  <si>
    <t>Free Cash Flow</t>
  </si>
  <si>
    <t>CF_FREE_CASH_FLOW</t>
  </si>
  <si>
    <t>Interest Expense</t>
  </si>
  <si>
    <t>Implied Interest Rate</t>
  </si>
  <si>
    <t>Other Income</t>
  </si>
  <si>
    <t>Income taxes</t>
  </si>
  <si>
    <t>Tax rate</t>
  </si>
  <si>
    <t>EPS, Fully diluted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</si>
</sst>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/d/yy"/>
    <numFmt numFmtId="165" formatCode="#,##0.0"/>
    <numFmt numFmtId="166" formatCode="&quot;$&quot;#,##0"/>
    <numFmt numFmtId="167" formatCode="0.0%"/>
    <numFmt numFmtId="168" formatCode="0.0"/>
    <numFmt numFmtId="169" formatCode="&quot;$&quot;#,##0.00"/>
  </numFmts>
  <fonts count="18" x14ac:knownFonts="1"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 tint="0.39997558519241921"/>
      <name val="Arial Narrow"/>
      <family val="2"/>
    </font>
    <font>
      <b/>
      <sz val="11"/>
      <name val="Arial Narrow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0"/>
      <name val="Calibri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i/>
      <sz val="10"/>
      <color indexed="63"/>
      <name val="Arial"/>
      <family val="2"/>
    </font>
    <font>
      <i/>
      <sz val="10"/>
      <color indexed="8"/>
      <name val="Arial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9" fontId="2" fillId="0" borderId="0" applyFont="0" applyFill="0" applyBorder="0" applyAlignment="0" applyProtection="0"/>
    <xf numFmtId="0" fontId="6" fillId="2" borderId="0"/>
    <xf numFmtId="0" fontId="7" fillId="0" borderId="0"/>
    <xf numFmtId="0" fontId="8" fillId="2" borderId="1" applyNumberFormat="0" applyProtection="0">
      <alignment horizontal="left" vertical="center" readingOrder="1"/>
    </xf>
    <xf numFmtId="0" fontId="9" fillId="3" borderId="0" applyNumberFormat="0" applyBorder="0" applyProtection="0">
      <alignment horizontal="center"/>
    </xf>
    <xf numFmtId="0" fontId="10" fillId="2" borderId="2">
      <alignment horizontal="left"/>
    </xf>
    <xf numFmtId="0" fontId="10" fillId="2" borderId="2">
      <alignment horizontal="right"/>
    </xf>
    <xf numFmtId="0" fontId="10" fillId="2" borderId="3">
      <alignment horizontal="left"/>
    </xf>
    <xf numFmtId="0" fontId="10" fillId="2" borderId="3">
      <alignment horizontal="right"/>
    </xf>
    <xf numFmtId="0" fontId="11" fillId="3" borderId="4"/>
    <xf numFmtId="165" fontId="11" fillId="3" borderId="5">
      <alignment horizontal="right"/>
    </xf>
    <xf numFmtId="0" fontId="12" fillId="3" borderId="4"/>
    <xf numFmtId="165" fontId="13" fillId="3" borderId="5">
      <alignment horizontal="right"/>
    </xf>
    <xf numFmtId="3" fontId="11" fillId="3" borderId="5">
      <alignment horizontal="right"/>
    </xf>
    <xf numFmtId="0" fontId="14" fillId="3" borderId="4"/>
    <xf numFmtId="165" fontId="15" fillId="3" borderId="5">
      <alignment horizontal="right"/>
    </xf>
    <xf numFmtId="4" fontId="11" fillId="3" borderId="5">
      <alignment horizontal="right"/>
    </xf>
    <xf numFmtId="0" fontId="15" fillId="4" borderId="6" applyNumberFormat="0" applyAlignment="0" applyProtection="0"/>
  </cellStyleXfs>
  <cellXfs count="42">
    <xf numFmtId="0" fontId="0" fillId="0" borderId="0" xfId="0"/>
    <xf numFmtId="0" fontId="1" fillId="0" borderId="0" xfId="0" applyFont="1"/>
    <xf numFmtId="165" fontId="1" fillId="0" borderId="0" xfId="0" applyNumberFormat="1" applyFont="1"/>
    <xf numFmtId="3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9" fontId="1" fillId="0" borderId="0" xfId="0" applyNumberFormat="1" applyFont="1"/>
    <xf numFmtId="9" fontId="1" fillId="0" borderId="0" xfId="1" applyFont="1"/>
    <xf numFmtId="9" fontId="4" fillId="0" borderId="0" xfId="1" applyFont="1"/>
    <xf numFmtId="166" fontId="1" fillId="0" borderId="0" xfId="0" applyNumberFormat="1" applyFont="1"/>
    <xf numFmtId="168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3" fontId="5" fillId="0" borderId="0" xfId="0" applyNumberFormat="1" applyFont="1"/>
    <xf numFmtId="166" fontId="5" fillId="0" borderId="0" xfId="0" applyNumberFormat="1" applyFont="1"/>
    <xf numFmtId="167" fontId="1" fillId="0" borderId="0" xfId="1" applyNumberFormat="1" applyFont="1"/>
    <xf numFmtId="168" fontId="1" fillId="0" borderId="0" xfId="0" applyNumberFormat="1" applyFont="1"/>
    <xf numFmtId="0" fontId="6" fillId="2" borderId="0" xfId="2" applyNumberFormat="1" applyFont="1" applyFill="1" applyBorder="1" applyAlignment="1" applyProtection="1"/>
    <xf numFmtId="0" fontId="7" fillId="0" borderId="0" xfId="3"/>
    <xf numFmtId="0" fontId="8" fillId="2" borderId="1" xfId="4" applyFont="1" applyFill="1" applyBorder="1" applyAlignment="1">
      <alignment horizontal="left" vertical="center" readingOrder="1"/>
    </xf>
    <xf numFmtId="0" fontId="9" fillId="3" borderId="0" xfId="5" applyFont="1" applyFill="1" applyAlignment="1">
      <alignment horizontal="center"/>
    </xf>
    <xf numFmtId="0" fontId="10" fillId="2" borderId="2" xfId="6" applyNumberFormat="1" applyFont="1" applyFill="1" applyBorder="1" applyAlignment="1" applyProtection="1">
      <alignment horizontal="left"/>
    </xf>
    <xf numFmtId="0" fontId="10" fillId="2" borderId="2" xfId="7" applyNumberFormat="1" applyFont="1" applyFill="1" applyBorder="1" applyAlignment="1" applyProtection="1">
      <alignment horizontal="right"/>
    </xf>
    <xf numFmtId="0" fontId="10" fillId="2" borderId="3" xfId="8">
      <alignment horizontal="left"/>
    </xf>
    <xf numFmtId="0" fontId="10" fillId="2" borderId="3" xfId="9" applyNumberFormat="1" applyFont="1" applyFill="1" applyBorder="1" applyAlignment="1" applyProtection="1">
      <alignment horizontal="right"/>
    </xf>
    <xf numFmtId="0" fontId="11" fillId="3" borderId="4" xfId="10" applyNumberFormat="1" applyFont="1" applyFill="1" applyBorder="1" applyAlignment="1" applyProtection="1"/>
    <xf numFmtId="165" fontId="11" fillId="3" borderId="5" xfId="11" applyNumberFormat="1" applyFont="1" applyFill="1" applyBorder="1" applyAlignment="1" applyProtection="1">
      <alignment horizontal="right"/>
    </xf>
    <xf numFmtId="0" fontId="12" fillId="3" borderId="4" xfId="12" applyNumberFormat="1" applyFont="1" applyFill="1" applyBorder="1" applyAlignment="1" applyProtection="1"/>
    <xf numFmtId="165" fontId="13" fillId="3" borderId="5" xfId="13" applyNumberFormat="1" applyFont="1" applyFill="1" applyBorder="1" applyAlignment="1" applyProtection="1">
      <alignment horizontal="right"/>
    </xf>
    <xf numFmtId="3" fontId="11" fillId="3" borderId="5" xfId="14" applyNumberFormat="1" applyFont="1" applyFill="1" applyBorder="1" applyAlignment="1" applyProtection="1">
      <alignment horizontal="right"/>
    </xf>
    <xf numFmtId="0" fontId="14" fillId="3" borderId="4" xfId="15" applyNumberFormat="1" applyFont="1" applyFill="1" applyBorder="1" applyAlignment="1" applyProtection="1"/>
    <xf numFmtId="165" fontId="15" fillId="3" borderId="5" xfId="16" applyNumberFormat="1" applyFont="1" applyFill="1" applyBorder="1" applyAlignment="1" applyProtection="1">
      <alignment horizontal="right"/>
    </xf>
    <xf numFmtId="4" fontId="11" fillId="3" borderId="5" xfId="17" applyNumberFormat="1" applyFont="1" applyFill="1" applyBorder="1" applyAlignment="1" applyProtection="1">
      <alignment horizontal="right"/>
    </xf>
    <xf numFmtId="0" fontId="15" fillId="4" borderId="6" xfId="18" applyFont="1" applyFill="1" applyBorder="1"/>
    <xf numFmtId="167" fontId="4" fillId="0" borderId="0" xfId="1" applyNumberFormat="1" applyFont="1"/>
    <xf numFmtId="166" fontId="0" fillId="0" borderId="0" xfId="0" applyNumberFormat="1"/>
    <xf numFmtId="9" fontId="1" fillId="0" borderId="0" xfId="1" applyNumberFormat="1" applyFont="1"/>
    <xf numFmtId="0" fontId="16" fillId="0" borderId="0" xfId="0" applyFont="1"/>
    <xf numFmtId="166" fontId="16" fillId="0" borderId="0" xfId="0" applyNumberFormat="1" applyFont="1"/>
    <xf numFmtId="0" fontId="17" fillId="0" borderId="0" xfId="0" applyFont="1"/>
    <xf numFmtId="169" fontId="5" fillId="0" borderId="0" xfId="0" applyNumberFormat="1" applyFont="1"/>
  </cellXfs>
  <cellStyles count="19">
    <cellStyle name="blp_column_header" xfId="2"/>
    <cellStyle name="blp_title_header_row_left" xfId="4"/>
    <cellStyle name="fa_column_header_bottom" xfId="9"/>
    <cellStyle name="fa_column_header_bottom_left" xfId="8"/>
    <cellStyle name="fa_column_header_empty" xfId="5"/>
    <cellStyle name="fa_column_header_top" xfId="7"/>
    <cellStyle name="fa_column_header_top_left" xfId="6"/>
    <cellStyle name="fa_data_bold_0_grouped" xfId="14"/>
    <cellStyle name="fa_data_bold_1_grouped" xfId="11"/>
    <cellStyle name="fa_data_bold_2_grouped" xfId="17"/>
    <cellStyle name="fa_data_italic_1_grouped" xfId="16"/>
    <cellStyle name="fa_data_standard_1_grouped" xfId="13"/>
    <cellStyle name="fa_footer_italic" xfId="18"/>
    <cellStyle name="fa_row_header_bold" xfId="10"/>
    <cellStyle name="fa_row_header_italic" xfId="15"/>
    <cellStyle name="fa_row_header_standard" xfId="12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loomberg.rtd">
      <tp t="b">
        <v>0</v>
        <stp/>
        <stp>##V3_BDHV12</stp>
        <stp>UNP US Equity</stp>
        <stp>IS_DIL_EPS_CONT_OPS</stp>
        <stp>FY 2009</stp>
        <stp>FY 2009</stp>
        <stp>[FIN 398-798 Model Building, CHOOSE function.xlsx]UNP Bloomberg Adj Highlights!R20C5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E20" s="4"/>
      </tp>
      <tp t="b">
        <v>0</v>
        <stp/>
        <stp>##V3_BDHV12</stp>
        <stp>UNP US Equity</stp>
        <stp>CF_FREE_CASH_FLOW</stp>
        <stp>FY 2012</stp>
        <stp>FY 2012</stp>
        <stp>[FIN 398-798 Model Building, CHOOSE function.xlsx]UNP Bloomberg Adj Highlights!R25C8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25" s="4"/>
      </tp>
      <tp t="b">
        <v>0</v>
        <stp/>
        <stp>##V3_BDHV12</stp>
        <stp>UNP US Equity</stp>
        <stp>CF_FREE_CASH_FLOW</stp>
        <stp>FY 2013</stp>
        <stp>FY 2013</stp>
        <stp>[FIN 398-798 Model Building, CHOOSE function.xlsx]UNP Bloomberg Adj Highlights!R25C9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25" s="4"/>
      </tp>
      <tp t="b">
        <v>0</v>
        <stp/>
        <stp>##V3_BDHV12</stp>
        <stp>UNP US Equity</stp>
        <stp>CF_FREE_CASH_FLOW</stp>
        <stp>FY 2007</stp>
        <stp>FY 2007</stp>
        <stp>[FIN 398-798 Model Building, CHOOSE function.xlsx]UNP Bloomberg Adj Highlights!R25C3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25" s="4"/>
      </tp>
      <tp t="b">
        <v>0</v>
        <stp/>
        <stp>##V3_BDHV12</stp>
        <stp>UNP US Equity</stp>
        <stp>CF_FREE_CASH_FLOW</stp>
        <stp>FY 2010</stp>
        <stp>FY 2010</stp>
        <stp>[FIN 398-798 Model Building, CHOOSE function.xlsx]UNP Bloomberg Adj Highlights!R25C6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25" s="4"/>
      </tp>
      <tp t="b">
        <v>0</v>
        <stp/>
        <stp>##V3_BDHV12</stp>
        <stp>UNP US Equity</stp>
        <stp>CF_FREE_CASH_FLOW</stp>
        <stp>FY 2011</stp>
        <stp>FY 2011</stp>
        <stp>[FIN 398-798 Model Building, CHOOSE function.xlsx]UNP Bloomberg Adj Highlights!R25C7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25" s="4"/>
      </tp>
      <tp t="b">
        <v>0</v>
        <stp/>
        <stp>##V3_BDHV12</stp>
        <stp>UNP US Equity</stp>
        <stp>CF_FREE_CASH_FLOW</stp>
        <stp>FY 2008</stp>
        <stp>FY 2008</stp>
        <stp>[FIN 398-798 Model Building, CHOOSE function.xlsx]UNP Bloomberg Adj Highlights!R25C4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25" s="4"/>
      </tp>
      <tp t="b">
        <v>0</v>
        <stp/>
        <stp>##V3_BDHV12</stp>
        <stp>UNP US Equity</stp>
        <stp>CF_FREE_CASH_FLOW</stp>
        <stp>FY 2009</stp>
        <stp>FY 2009</stp>
        <stp>[FIN 398-798 Model Building, CHOOSE function.xlsx]UNP Bloomberg Adj Highlights!R25C5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25" s="4"/>
      </tp>
      <tp t="b">
        <v>0</v>
        <stp/>
        <stp>##V3_BDHV12</stp>
        <stp>UNP US Equity</stp>
        <stp>IS_DIL_EPS_CONT_OPS</stp>
        <stp>FY 2008</stp>
        <stp>FY 2008</stp>
        <stp>[FIN 398-798 Model Building, CHOOSE function.xlsx]UNP Bloomberg Adj Highlights!R20C4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D20" s="4"/>
      </tp>
      <tp t="b">
        <v>0</v>
        <stp/>
        <stp>##V3_BDHV12</stp>
        <stp>UNP US Equity</stp>
        <stp>IS_DIL_EPS_CONT_OPS</stp>
        <stp>FY 2011</stp>
        <stp>FY 2011</stp>
        <stp>[FIN 398-798 Model Building, CHOOSE function.xlsx]UNP Bloomberg Adj Highlights!R20C7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G20" s="4"/>
      </tp>
      <tp t="b">
        <v>0</v>
        <stp/>
        <stp>##V3_BDHV12</stp>
        <stp>UNP US Equity</stp>
        <stp>IS_DIL_EPS_CONT_OPS</stp>
        <stp>FY 2010</stp>
        <stp>FY 2010</stp>
        <stp>[FIN 398-798 Model Building, CHOOSE function.xlsx]UNP Bloomberg Adj Highlights!R20C6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F20" s="4"/>
      </tp>
      <tp t="b">
        <v>0</v>
        <stp/>
        <stp>##V3_BDHV12</stp>
        <stp>UNP US Equity</stp>
        <stp>EBITDA_TO_REVENUE</stp>
        <stp>FY 2014</stp>
        <stp>FY 2014</stp>
        <stp>[FIN 398-798 Model Building, CHOOSE function.xlsx]UNP Bloomberg Adj Highlights!R17C10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7" s="4"/>
      </tp>
      <tp t="b">
        <v>0</v>
        <stp/>
        <stp>##V3_BDHV12</stp>
        <stp>UNP US Equity</stp>
        <stp>EBITDA_TO_REVENUE</stp>
        <stp>FY 2015</stp>
        <stp>FY 2015</stp>
        <stp>[FIN 398-798 Model Building, CHOOSE function.xlsx]UNP Bloomberg Adj Highlights!R17C11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7" s="4"/>
      </tp>
      <tp t="b">
        <v>0</v>
        <stp/>
        <stp>##V3_BDHV12</stp>
        <stp>UNP US Equity</stp>
        <stp>EBITDA_TO_REVENUE</stp>
        <stp>FY 2016</stp>
        <stp>FY 2016</stp>
        <stp>[FIN 398-798 Model Building, CHOOSE function.xlsx]UNP Bloomberg Adj Highlights!R17C12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7" s="4"/>
      </tp>
      <tp t="b">
        <v>0</v>
        <stp/>
        <stp>##V3_BDHV12</stp>
        <stp>UNP US Equity</stp>
        <stp>IS_DIL_EPS_CONT_OPS</stp>
        <stp>FY 2007</stp>
        <stp>FY 2007</stp>
        <stp>[FIN 398-798 Model Building, CHOOSE function.xlsx]UNP Bloomberg Adj Highlights!R20C3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C20" s="4"/>
      </tp>
      <tp t="b">
        <v>0</v>
        <stp/>
        <stp>##V3_BDHV12</stp>
        <stp>UNP US Equity</stp>
        <stp>CASH_AND_MARKETABLE_SECURITIES</stp>
        <stp>FY 2013</stp>
        <stp>FY 2013</stp>
        <stp>[FIN 398-798 Model Building, CHOOSE function.xlsx]UNP Bloomberg Adj Highlights!R7C9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7" s="4"/>
      </tp>
      <tp t="b">
        <v>0</v>
        <stp/>
        <stp>##V3_BDHV12</stp>
        <stp>UNP US Equity</stp>
        <stp>CASH_AND_MARKETABLE_SECURITIES</stp>
        <stp>FY 2012</stp>
        <stp>FY 2012</stp>
        <stp>[FIN 398-798 Model Building, CHOOSE function.xlsx]UNP Bloomberg Adj Highlights!R7C8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7" s="4"/>
      </tp>
      <tp t="b">
        <v>0</v>
        <stp/>
        <stp>##V3_BDHV12</stp>
        <stp>UNP US Equity</stp>
        <stp>CASH_AND_MARKETABLE_SECURITIES</stp>
        <stp>FY 2007</stp>
        <stp>FY 2007</stp>
        <stp>[FIN 398-798 Model Building, CHOOSE function.xlsx]UNP Bloomberg Adj Highlights!R7C3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7" s="4"/>
      </tp>
      <tp t="b">
        <v>0</v>
        <stp/>
        <stp>##V3_BDHV12</stp>
        <stp>UNP US Equity</stp>
        <stp>CASH_AND_MARKETABLE_SECURITIES</stp>
        <stp>FY 2009</stp>
        <stp>FY 2009</stp>
        <stp>[FIN 398-798 Model Building, CHOOSE function.xlsx]UNP Bloomberg Adj Highlights!R7C5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7" s="4"/>
      </tp>
      <tp t="b">
        <v>0</v>
        <stp/>
        <stp>##V3_BDHV12</stp>
        <stp>UNP US Equity</stp>
        <stp>CASH_AND_MARKETABLE_SECURITIES</stp>
        <stp>FY 2008</stp>
        <stp>FY 2008</stp>
        <stp>[FIN 398-798 Model Building, CHOOSE function.xlsx]UNP Bloomberg Adj Highlights!R7C4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7" s="4"/>
      </tp>
      <tp t="b">
        <v>0</v>
        <stp/>
        <stp>##V3_BDHV12</stp>
        <stp>UNP US Equity</stp>
        <stp>CASH_AND_MARKETABLE_SECURITIES</stp>
        <stp>FY 2011</stp>
        <stp>FY 2011</stp>
        <stp>[FIN 398-798 Model Building, CHOOSE function.xlsx]UNP Bloomberg Adj Highlights!R7C7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7" s="4"/>
      </tp>
      <tp t="b">
        <v>0</v>
        <stp/>
        <stp>##V3_BDHV12</stp>
        <stp>UNP US Equity</stp>
        <stp>CASH_AND_MARKETABLE_SECURITIES</stp>
        <stp>FY 2010</stp>
        <stp>FY 2010</stp>
        <stp>[FIN 398-798 Model Building, CHOOSE function.xlsx]UNP Bloomberg Adj Highlights!R7C6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7" s="4"/>
      </tp>
      <tp t="b">
        <v>0</v>
        <stp/>
        <stp>##V3_BDHV12</stp>
        <stp>UNP US Equity</stp>
        <stp>IS_DIL_EPS_CONT_OPS</stp>
        <stp>FY 2013</stp>
        <stp>FY 2013</stp>
        <stp>[FIN 398-798 Model Building, CHOOSE function.xlsx]UNP Bloomberg Adj Highlights!R20C9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I20" s="4"/>
      </tp>
      <tp t="b">
        <v>0</v>
        <stp/>
        <stp>##V3_BDHV12</stp>
        <stp>UNP US Equity</stp>
        <stp>IS_DIL_EPS_CONT_OPS</stp>
        <stp>FY 2012</stp>
        <stp>FY 2012</stp>
        <stp>[FIN 398-798 Model Building, CHOOSE function.xlsx]UNP Bloomberg Adj Highlights!R20C8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H20" s="4"/>
      </tp>
      <tp t="b">
        <v>0</v>
        <stp/>
        <stp>##V3_BDHV12</stp>
        <stp>UNP US Equity</stp>
        <stp>SHORT_AND_LONG_TERM_DEBT</stp>
        <stp>FY 2016</stp>
        <stp>FY 2016</stp>
        <stp>[FIN 398-798 Model Building, CHOOSE function.xlsx]UNP Bloomberg Adj Highlights!R9C12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9" s="4"/>
      </tp>
      <tp t="b">
        <v>0</v>
        <stp/>
        <stp>##V3_BDHV12</stp>
        <stp>UNP US Equity</stp>
        <stp>SHORT_AND_LONG_TERM_DEBT</stp>
        <stp>FY 2015</stp>
        <stp>FY 2015</stp>
        <stp>[FIN 398-798 Model Building, CHOOSE function.xlsx]UNP Bloomberg Adj Highlights!R9C11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9" s="4"/>
      </tp>
      <tp t="b">
        <v>0</v>
        <stp/>
        <stp>##V3_BDHV12</stp>
        <stp>UNP US Equity</stp>
        <stp>SHORT_AND_LONG_TERM_DEBT</stp>
        <stp>FY 2014</stp>
        <stp>FY 2014</stp>
        <stp>[FIN 398-798 Model Building, CHOOSE function.xlsx]UNP Bloomberg Adj Highlights!R9C10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9" s="4"/>
      </tp>
      <tp t="b">
        <v>0</v>
        <stp/>
        <stp>##V3_BDHV12</stp>
        <stp>UNP US Equity</stp>
        <stp>CF_CASH_FROM_OPER</stp>
        <stp>FY 2010</stp>
        <stp>FY 2010</stp>
        <stp>[FIN 398-798 Model Building, CHOOSE function.xlsx]UNP Bloomberg Adj Highlights!R23C6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23" s="4"/>
      </tp>
      <tp t="b">
        <v>0</v>
        <stp/>
        <stp>##V3_BDHV12</stp>
        <stp>UNP US Equity</stp>
        <stp>CF_CASH_FROM_OPER</stp>
        <stp>FY 2011</stp>
        <stp>FY 2011</stp>
        <stp>[FIN 398-798 Model Building, CHOOSE function.xlsx]UNP Bloomberg Adj Highlights!R23C7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23" s="4"/>
      </tp>
      <tp t="b">
        <v>0</v>
        <stp/>
        <stp>##V3_BDHV12</stp>
        <stp>UNP US Equity</stp>
        <stp>CF_CASH_FROM_OPER</stp>
        <stp>FY 2008</stp>
        <stp>FY 2008</stp>
        <stp>[FIN 398-798 Model Building, CHOOSE function.xlsx]UNP Bloomberg Adj Highlights!R23C4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23" s="4"/>
      </tp>
      <tp t="b">
        <v>0</v>
        <stp/>
        <stp>##V3_BDHV12</stp>
        <stp>UNP US Equity</stp>
        <stp>CF_CASH_FROM_OPER</stp>
        <stp>FY 2009</stp>
        <stp>FY 2009</stp>
        <stp>[FIN 398-798 Model Building, CHOOSE function.xlsx]UNP Bloomberg Adj Highlights!R23C5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23" s="4"/>
      </tp>
      <tp t="b">
        <v>0</v>
        <stp/>
        <stp>##V3_BDHV12</stp>
        <stp>UNP US Equity</stp>
        <stp>CF_CASH_FROM_OPER</stp>
        <stp>FY 2007</stp>
        <stp>FY 2007</stp>
        <stp>[FIN 398-798 Model Building, CHOOSE function.xlsx]UNP Bloomberg Adj Highlights!R23C3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23" s="4"/>
      </tp>
      <tp t="b">
        <v>0</v>
        <stp/>
        <stp>##V3_BDHV12</stp>
        <stp>UNP US Equity</stp>
        <stp>CF_CASH_FROM_OPER</stp>
        <stp>FY 2012</stp>
        <stp>FY 2012</stp>
        <stp>[FIN 398-798 Model Building, CHOOSE function.xlsx]UNP Bloomberg Adj Highlights!R23C8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23" s="4"/>
      </tp>
      <tp t="b">
        <v>0</v>
        <stp/>
        <stp>##V3_BDHV12</stp>
        <stp>UNP US Equity</stp>
        <stp>CF_CASH_FROM_OPER</stp>
        <stp>FY 2013</stp>
        <stp>FY 2013</stp>
        <stp>[FIN 398-798 Model Building, CHOOSE function.xlsx]UNP Bloomberg Adj Highlights!R23C9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23" s="4"/>
      </tp>
      <tp t="b">
        <v>0</v>
        <stp/>
        <stp>##V3_BDHV12</stp>
        <stp>UNP US Equity</stp>
        <stp>EARN_FOR_COMMON</stp>
        <stp>FY 2016</stp>
        <stp>FY 2016</stp>
        <stp>[FIN 398-798 Model Building, CHOOSE function.xlsx]UNP Bloomberg Adj Highlights!R18C12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8" s="4"/>
      </tp>
      <tp t="b">
        <v>0</v>
        <stp/>
        <stp>##V3_BDHV12</stp>
        <stp>UNP US Equity</stp>
        <stp>EARN_FOR_COMMON</stp>
        <stp>FY 2014</stp>
        <stp>FY 2014</stp>
        <stp>[FIN 398-798 Model Building, CHOOSE function.xlsx]UNP Bloomberg Adj Highlights!R18C10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8" s="4"/>
      </tp>
      <tp t="b">
        <v>0</v>
        <stp/>
        <stp>##V3_BDHV12</stp>
        <stp>UNP US Equity</stp>
        <stp>EARN_FOR_COMMON</stp>
        <stp>FY 2015</stp>
        <stp>FY 2015</stp>
        <stp>[FIN 398-798 Model Building, CHOOSE function.xlsx]UNP Bloomberg Adj Highlights!R18C11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8" s="4"/>
      </tp>
    </main>
    <main first="bloomberg.rtd">
      <tp t="b">
        <v>0</v>
        <stp/>
        <stp>##V3_BDHV12</stp>
        <stp>UNP US Equity</stp>
        <stp>EBITDA</stp>
        <stp>FY 2013</stp>
        <stp>FY 2013</stp>
        <stp>[FIN 398-798 Model Building, CHOOSE function.xlsx]UNP Bloomberg Adj Highlights!R16C9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6" s="4"/>
      </tp>
      <tp t="b">
        <v>0</v>
        <stp/>
        <stp>##V3_BDHV12</stp>
        <stp>UNP US Equity</stp>
        <stp>EBITDA</stp>
        <stp>FY 2012</stp>
        <stp>FY 2012</stp>
        <stp>[FIN 398-798 Model Building, CHOOSE function.xlsx]UNP Bloomberg Adj Highlights!R16C8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6" s="4"/>
      </tp>
      <tp t="b">
        <v>0</v>
        <stp/>
        <stp>##V3_BDHV12</stp>
        <stp>UNP US Equity</stp>
        <stp>SALES_REV_TURN</stp>
        <stp>FY 2012</stp>
        <stp>FY 2012</stp>
        <stp>[FIN 398-798 Model Building, CHOOSE function.xlsx]UNP Bloomberg Adj Highlights!R12C8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2" s="4"/>
      </tp>
      <tp t="b">
        <v>0</v>
        <stp/>
        <stp>##V3_BDHV12</stp>
        <stp>UNP US Equity</stp>
        <stp>SALES_REV_TURN</stp>
        <stp>FY 2013</stp>
        <stp>FY 2013</stp>
        <stp>[FIN 398-798 Model Building, CHOOSE function.xlsx]UNP Bloomberg Adj Highlights!R12C9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2" s="4"/>
      </tp>
      <tp t="b">
        <v>0</v>
        <stp/>
        <stp>##V3_BDHV12</stp>
        <stp>UNP US Equity</stp>
        <stp>SALES_REV_TURN</stp>
        <stp>FY 2007</stp>
        <stp>FY 2007</stp>
        <stp>[FIN 398-798 Model Building, CHOOSE function.xlsx]UNP Bloomberg Adj Highlights!R12C3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2" s="4"/>
      </tp>
      <tp t="b">
        <v>0</v>
        <stp/>
        <stp>##V3_BDHV12</stp>
        <stp>UNP US Equity</stp>
        <stp>EBITDA</stp>
        <stp>FY 2007</stp>
        <stp>FY 2007</stp>
        <stp>[FIN 398-798 Model Building, CHOOSE function.xlsx]UNP Bloomberg Adj Highlights!R16C3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6" s="4"/>
      </tp>
      <tp t="b">
        <v>0</v>
        <stp/>
        <stp>##V3_BDHV12</stp>
        <stp>UNP US Equity</stp>
        <stp>HISTORICAL_MARKET_CAP</stp>
        <stp>FY 2014</stp>
        <stp>FY 2014</stp>
        <stp>[FIN 398-798 Model Building, CHOOSE function.xlsx]UNP Bloomberg Adj Highlights!R6C10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6" s="4"/>
      </tp>
      <tp t="b">
        <v>0</v>
        <stp/>
        <stp>##V3_BDHV12</stp>
        <stp>UNP US Equity</stp>
        <stp>HISTORICAL_MARKET_CAP</stp>
        <stp>FY 2015</stp>
        <stp>FY 2015</stp>
        <stp>[FIN 398-798 Model Building, CHOOSE function.xlsx]UNP Bloomberg Adj Highlights!R6C11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6" s="4"/>
      </tp>
      <tp t="b">
        <v>0</v>
        <stp/>
        <stp>##V3_BDHV12</stp>
        <stp>UNP US Equity</stp>
        <stp>HISTORICAL_MARKET_CAP</stp>
        <stp>FY 2016</stp>
        <stp>FY 2016</stp>
        <stp>[FIN 398-798 Model Building, CHOOSE function.xlsx]UNP Bloomberg Adj Highlights!R6C12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6" s="4"/>
      </tp>
      <tp t="b">
        <v>0</v>
        <stp/>
        <stp>##V3_BDHV12</stp>
        <stp>UNP US Equity</stp>
        <stp>EBITDA</stp>
        <stp>FY 2009</stp>
        <stp>FY 2009</stp>
        <stp>[FIN 398-798 Model Building, CHOOSE function.xlsx]UNP Bloomberg Adj Highlights!R16C5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6" s="4"/>
      </tp>
      <tp t="b">
        <v>0</v>
        <stp/>
        <stp>##V3_BDHV12</stp>
        <stp>UNP US Equity</stp>
        <stp>SALES_REV_TURN</stp>
        <stp>FY 2010</stp>
        <stp>FY 2010</stp>
        <stp>[FIN 398-798 Model Building, CHOOSE function.xlsx]UNP Bloomberg Adj Highlights!R12C6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2" s="4"/>
      </tp>
      <tp t="b">
        <v>0</v>
        <stp/>
        <stp>##V3_BDHV12</stp>
        <stp>UNP US Equity</stp>
        <stp>EBITDA</stp>
        <stp>FY 2008</stp>
        <stp>FY 2008</stp>
        <stp>[FIN 398-798 Model Building, CHOOSE function.xlsx]UNP Bloomberg Adj Highlights!R16C4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6" s="4"/>
      </tp>
      <tp t="b">
        <v>0</v>
        <stp/>
        <stp>##V3_BDHV12</stp>
        <stp>UNP US Equity</stp>
        <stp>SALES_REV_TURN</stp>
        <stp>FY 2011</stp>
        <stp>FY 2011</stp>
        <stp>[FIN 398-798 Model Building, CHOOSE function.xlsx]UNP Bloomberg Adj Highlights!R12C7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2" s="4"/>
      </tp>
      <tp t="b">
        <v>0</v>
        <stp/>
        <stp>##V3_BDHV12</stp>
        <stp>UNP US Equity</stp>
        <stp>EBITDA</stp>
        <stp>FY 2011</stp>
        <stp>FY 2011</stp>
        <stp>[FIN 398-798 Model Building, CHOOSE function.xlsx]UNP Bloomberg Adj Highlights!R16C7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6" s="4"/>
      </tp>
      <tp t="b">
        <v>0</v>
        <stp/>
        <stp>##V3_BDHV12</stp>
        <stp>UNP US Equity</stp>
        <stp>SALES_REV_TURN</stp>
        <stp>FY 2008</stp>
        <stp>FY 2008</stp>
        <stp>[FIN 398-798 Model Building, CHOOSE function.xlsx]UNP Bloomberg Adj Highlights!R12C4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2" s="4"/>
      </tp>
      <tp t="b">
        <v>0</v>
        <stp/>
        <stp>##V3_BDHV12</stp>
        <stp>UNP US Equity</stp>
        <stp>SALES_GROWTH</stp>
        <stp>FY 2015</stp>
        <stp>FY 2015</stp>
        <stp>[FIN 398-798 Model Building, CHOOSE function.xlsx]UNP Bloomberg Adj Highlights!R13C11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3" s="4"/>
      </tp>
      <tp t="b">
        <v>0</v>
        <stp/>
        <stp>##V3_BDHV12</stp>
        <stp>UNP US Equity</stp>
        <stp>SALES_GROWTH</stp>
        <stp>FY 2014</stp>
        <stp>FY 2014</stp>
        <stp>[FIN 398-798 Model Building, CHOOSE function.xlsx]UNP Bloomberg Adj Highlights!R13C10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3" s="4"/>
      </tp>
      <tp t="b">
        <v>0</v>
        <stp/>
        <stp>##V3_BDHV12</stp>
        <stp>UNP US Equity</stp>
        <stp>SALES_GROWTH</stp>
        <stp>FY 2016</stp>
        <stp>FY 2016</stp>
        <stp>[FIN 398-798 Model Building, CHOOSE function.xlsx]UNP Bloomberg Adj Highlights!R13C12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3" s="4"/>
      </tp>
      <tp t="b">
        <v>0</v>
        <stp/>
        <stp>##V3_BDHV12</stp>
        <stp>UNP US Equity</stp>
        <stp>EBITDA</stp>
        <stp>FY 2010</stp>
        <stp>FY 2010</stp>
        <stp>[FIN 398-798 Model Building, CHOOSE function.xlsx]UNP Bloomberg Adj Highlights!R16C6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6" s="4"/>
      </tp>
      <tp t="b">
        <v>0</v>
        <stp/>
        <stp>##V3_BDHV12</stp>
        <stp>UNP US Equity</stp>
        <stp>SALES_REV_TURN</stp>
        <stp>FY 2009</stp>
        <stp>FY 2009</stp>
        <stp>[FIN 398-798 Model Building, CHOOSE function.xlsx]UNP Bloomberg Adj Highlights!R12C5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2" s="4"/>
      </tp>
      <tp t="b">
        <v>0</v>
        <stp/>
        <stp>##V3_BDHV12</stp>
        <stp>UNP US Equity</stp>
        <stp>GROSS_MARGIN</stp>
        <stp>FY 2016</stp>
        <stp>FY 2016</stp>
        <stp>[FIN 398-798 Model Building, CHOOSE function.xlsx]UNP Bloomberg Adj Highlights!R15C12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5" s="4"/>
      </tp>
      <tp t="b">
        <v>0</v>
        <stp/>
        <stp>##V3_BDHV12</stp>
        <stp>UNP US Equity</stp>
        <stp>GROSS_MARGIN</stp>
        <stp>FY 2014</stp>
        <stp>FY 2014</stp>
        <stp>[FIN 398-798 Model Building, CHOOSE function.xlsx]UNP Bloomberg Adj Highlights!R15C10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5" s="4"/>
      </tp>
      <tp t="b">
        <v>0</v>
        <stp/>
        <stp>##V3_BDHV12</stp>
        <stp>UNP US Equity</stp>
        <stp>GROSS_MARGIN</stp>
        <stp>FY 2015</stp>
        <stp>FY 2015</stp>
        <stp>[FIN 398-798 Model Building, CHOOSE function.xlsx]UNP Bloomberg Adj Highlights!R15C11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5" s="4"/>
      </tp>
      <tp t="b">
        <v>0</v>
        <stp/>
        <stp>##V3_BDHV12</stp>
        <stp>UNP US Equity</stp>
        <stp>CASH_AND_MARKETABLE_SECURITIES</stp>
        <stp>FY 2016</stp>
        <stp>FY 2016</stp>
        <stp>[FIN 398-798 Model Building, CHOOSE function.xlsx]UNP Bloomberg Adj Highlights!R7C12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7" s="4"/>
      </tp>
      <tp t="b">
        <v>0</v>
        <stp/>
        <stp>##V3_BDHV12</stp>
        <stp>UNP US Equity</stp>
        <stp>CASH_AND_MARKETABLE_SECURITIES</stp>
        <stp>FY 2014</stp>
        <stp>FY 2014</stp>
        <stp>[FIN 398-798 Model Building, CHOOSE function.xlsx]UNP Bloomberg Adj Highlights!R7C10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7" s="4"/>
      </tp>
      <tp t="b">
        <v>0</v>
        <stp/>
        <stp>##V3_BDHV12</stp>
        <stp>UNP US Equity</stp>
        <stp>CASH_AND_MARKETABLE_SECURITIES</stp>
        <stp>FY 2015</stp>
        <stp>FY 2015</stp>
        <stp>[FIN 398-798 Model Building, CHOOSE function.xlsx]UNP Bloomberg Adj Highlights!R7C11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7" s="4"/>
      </tp>
      <tp t="b">
        <v>0</v>
        <stp/>
        <stp>##V3_BDHV12</stp>
        <stp>UNP US Equity</stp>
        <stp>EARN_FOR_COMMON</stp>
        <stp>FY 2012</stp>
        <stp>FY 2012</stp>
        <stp>[FIN 398-798 Model Building, CHOOSE function.xlsx]UNP Bloomberg Adj Highlights!R18C8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8" s="4"/>
      </tp>
      <tp t="b">
        <v>0</v>
        <stp/>
        <stp>##V3_BDHV12</stp>
        <stp>UNP US Equity</stp>
        <stp>EARN_FOR_COMMON</stp>
        <stp>FY 2013</stp>
        <stp>FY 2013</stp>
        <stp>[FIN 398-798 Model Building, CHOOSE function.xlsx]UNP Bloomberg Adj Highlights!R18C9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8" s="4"/>
      </tp>
      <tp t="b">
        <v>0</v>
        <stp/>
        <stp>##V3_BDHV12</stp>
        <stp>UNP US Equity</stp>
        <stp>EARN_FOR_COMMON</stp>
        <stp>FY 2008</stp>
        <stp>FY 2008</stp>
        <stp>[FIN 398-798 Model Building, CHOOSE function.xlsx]UNP Bloomberg Adj Highlights!R18C4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8" s="4"/>
      </tp>
      <tp t="b">
        <v>0</v>
        <stp/>
        <stp>##V3_BDHV12</stp>
        <stp>UNP US Equity</stp>
        <stp>EARN_FOR_COMMON</stp>
        <stp>FY 2009</stp>
        <stp>FY 2009</stp>
        <stp>[FIN 398-798 Model Building, CHOOSE function.xlsx]UNP Bloomberg Adj Highlights!R18C5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8" s="4"/>
      </tp>
      <tp t="b">
        <v>0</v>
        <stp/>
        <stp>##V3_BDHV12</stp>
        <stp>UNP US Equity</stp>
        <stp>CAPITAL_EXPEND</stp>
        <stp>FY 2007</stp>
        <stp>FY 2007</stp>
        <stp>[FIN 398-798 Model Building, CHOOSE function.xlsx]UNP Bloomberg Adj Highlights!R24C3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24" s="4"/>
      </tp>
      <tp t="b">
        <v>0</v>
        <stp/>
        <stp>##V3_BDHV12</stp>
        <stp>UNP US Equity</stp>
        <stp>CAPITAL_EXPEND</stp>
        <stp>FY 2008</stp>
        <stp>FY 2008</stp>
        <stp>[FIN 398-798 Model Building, CHOOSE function.xlsx]UNP Bloomberg Adj Highlights!R24C4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24" s="4"/>
      </tp>
      <tp t="b">
        <v>0</v>
        <stp/>
        <stp>##V3_BDHV12</stp>
        <stp>UNP US Equity</stp>
        <stp>CAPITAL_EXPEND</stp>
        <stp>FY 2009</stp>
        <stp>FY 2009</stp>
        <stp>[FIN 398-798 Model Building, CHOOSE function.xlsx]UNP Bloomberg Adj Highlights!R24C5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24" s="4"/>
      </tp>
      <tp t="b">
        <v>0</v>
        <stp/>
        <stp>##V3_BDHV12</stp>
        <stp>UNP US Equity</stp>
        <stp>CAPITAL_EXPEND</stp>
        <stp>FY 2010</stp>
        <stp>FY 2010</stp>
        <stp>[FIN 398-798 Model Building, CHOOSE function.xlsx]UNP Bloomberg Adj Highlights!R24C6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24" s="4"/>
      </tp>
      <tp t="b">
        <v>0</v>
        <stp/>
        <stp>##V3_BDHV12</stp>
        <stp>UNP US Equity</stp>
        <stp>CAPITAL_EXPEND</stp>
        <stp>FY 2011</stp>
        <stp>FY 2011</stp>
        <stp>[FIN 398-798 Model Building, CHOOSE function.xlsx]UNP Bloomberg Adj Highlights!R24C7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24" s="4"/>
      </tp>
      <tp t="b">
        <v>0</v>
        <stp/>
        <stp>##V3_BDHV12</stp>
        <stp>UNP US Equity</stp>
        <stp>CAPITAL_EXPEND</stp>
        <stp>FY 2012</stp>
        <stp>FY 2012</stp>
        <stp>[FIN 398-798 Model Building, CHOOSE function.xlsx]UNP Bloomberg Adj Highlights!R24C8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24" s="4"/>
      </tp>
      <tp t="b">
        <v>0</v>
        <stp/>
        <stp>##V3_BDHV12</stp>
        <stp>UNP US Equity</stp>
        <stp>CAPITAL_EXPEND</stp>
        <stp>FY 2013</stp>
        <stp>FY 2013</stp>
        <stp>[FIN 398-798 Model Building, CHOOSE function.xlsx]UNP Bloomberg Adj Highlights!R24C9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24" s="4"/>
      </tp>
      <tp t="b">
        <v>0</v>
        <stp/>
        <stp>##V3_BDHV12</stp>
        <stp>UNP US Equity</stp>
        <stp>EARN_FOR_COMMON</stp>
        <stp>FY 2010</stp>
        <stp>FY 2010</stp>
        <stp>[FIN 398-798 Model Building, CHOOSE function.xlsx]UNP Bloomberg Adj Highlights!R18C6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8" s="4"/>
      </tp>
      <tp t="b">
        <v>0</v>
        <stp/>
        <stp>##V3_BDHV12</stp>
        <stp>UNP US Equity</stp>
        <stp>SHORT_AND_LONG_TERM_DEBT</stp>
        <stp>FY 2010</stp>
        <stp>FY 2010</stp>
        <stp>[FIN 398-798 Model Building, CHOOSE function.xlsx]UNP Bloomberg Adj Highlights!R9C6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9" s="4"/>
      </tp>
      <tp t="b">
        <v>0</v>
        <stp/>
        <stp>##V3_BDHV12</stp>
        <stp>UNP US Equity</stp>
        <stp>SHORT_AND_LONG_TERM_DEBT</stp>
        <stp>FY 2011</stp>
        <stp>FY 2011</stp>
        <stp>[FIN 398-798 Model Building, CHOOSE function.xlsx]UNP Bloomberg Adj Highlights!R9C7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9" s="4"/>
      </tp>
      <tp t="b">
        <v>0</v>
        <stp/>
        <stp>##V3_BDHV12</stp>
        <stp>UNP US Equity</stp>
        <stp>SHORT_AND_LONG_TERM_DEBT</stp>
        <stp>FY 2008</stp>
        <stp>FY 2008</stp>
        <stp>[FIN 398-798 Model Building, CHOOSE function.xlsx]UNP Bloomberg Adj Highlights!R9C4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9" s="4"/>
      </tp>
      <tp t="b">
        <v>0</v>
        <stp/>
        <stp>##V3_BDHV12</stp>
        <stp>UNP US Equity</stp>
        <stp>SHORT_AND_LONG_TERM_DEBT</stp>
        <stp>FY 2009</stp>
        <stp>FY 2009</stp>
        <stp>[FIN 398-798 Model Building, CHOOSE function.xlsx]UNP Bloomberg Adj Highlights!R9C5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9" s="4"/>
      </tp>
      <tp t="b">
        <v>0</v>
        <stp/>
        <stp>##V3_BDHV12</stp>
        <stp>UNP US Equity</stp>
        <stp>SHORT_AND_LONG_TERM_DEBT</stp>
        <stp>FY 2007</stp>
        <stp>FY 2007</stp>
        <stp>[FIN 398-798 Model Building, CHOOSE function.xlsx]UNP Bloomberg Adj Highlights!R9C3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9" s="4"/>
      </tp>
      <tp t="b">
        <v>0</v>
        <stp/>
        <stp>##V3_BDHV12</stp>
        <stp>UNP US Equity</stp>
        <stp>SHORT_AND_LONG_TERM_DEBT</stp>
        <stp>FY 2012</stp>
        <stp>FY 2012</stp>
        <stp>[FIN 398-798 Model Building, CHOOSE function.xlsx]UNP Bloomberg Adj Highlights!R9C8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9" s="4"/>
      </tp>
      <tp t="b">
        <v>0</v>
        <stp/>
        <stp>##V3_BDHV12</stp>
        <stp>UNP US Equity</stp>
        <stp>SHORT_AND_LONG_TERM_DEBT</stp>
        <stp>FY 2013</stp>
        <stp>FY 2013</stp>
        <stp>[FIN 398-798 Model Building, CHOOSE function.xlsx]UNP Bloomberg Adj Highlights!R9C9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9" s="4"/>
      </tp>
      <tp t="b">
        <v>0</v>
        <stp/>
        <stp>##V3_BDHV12</stp>
        <stp>UNP US Equity</stp>
        <stp>EARN_FOR_COMMON</stp>
        <stp>FY 2011</stp>
        <stp>FY 2011</stp>
        <stp>[FIN 398-798 Model Building, CHOOSE function.xlsx]UNP Bloomberg Adj Highlights!R18C7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8" s="4"/>
      </tp>
      <tp t="b">
        <v>0</v>
        <stp/>
        <stp>##V3_BDHV12</stp>
        <stp>UNP US Equity</stp>
        <stp>EARN_FOR_COMMON</stp>
        <stp>FY 2007</stp>
        <stp>FY 2007</stp>
        <stp>[FIN 398-798 Model Building, CHOOSE function.xlsx]UNP Bloomberg Adj Highlights!R18C3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8" s="4"/>
      </tp>
      <tp t="b">
        <v>0</v>
        <stp/>
        <stp>##V3_BDHV12</stp>
        <stp>UNP US Equity</stp>
        <stp>GROSS_PROFIT</stp>
        <stp>FY 2014</stp>
        <stp>FY 2014</stp>
        <stp>[FIN 398-798 Model Building, CHOOSE function.xlsx]UNP Bloomberg Adj Highlights!R14C10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4" s="4"/>
      </tp>
      <tp t="b">
        <v>0</v>
        <stp/>
        <stp>##V3_BDHV12</stp>
        <stp>UNP US Equity</stp>
        <stp>GROSS_PROFIT</stp>
        <stp>FY 2015</stp>
        <stp>FY 2015</stp>
        <stp>[FIN 398-798 Model Building, CHOOSE function.xlsx]UNP Bloomberg Adj Highlights!R14C11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4" s="4"/>
      </tp>
      <tp t="b">
        <v>0</v>
        <stp/>
        <stp>##V3_BDHV12</stp>
        <stp>UNP US Equity</stp>
        <stp>GROSS_PROFIT</stp>
        <stp>FY 2016</stp>
        <stp>FY 2016</stp>
        <stp>[FIN 398-798 Model Building, CHOOSE function.xlsx]UNP Bloomberg Adj Highlights!R14C12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4" s="4"/>
      </tp>
      <tp t="b">
        <v>0</v>
        <stp/>
        <stp>##V3_BDHV12</stp>
        <stp>UNP US Equity</stp>
        <stp>IS_DIL_EPS_CONT_OPS</stp>
        <stp>FY 2014</stp>
        <stp>FY 2014</stp>
        <stp>[FIN 398-798 Model Building, CHOOSE function.xlsx]UNP Bloomberg Adj Highlights!R20C10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J20" s="4"/>
      </tp>
      <tp t="b">
        <v>0</v>
        <stp/>
        <stp>##V3_BDHV12</stp>
        <stp>UNP US Equity</stp>
        <stp>IS_DIL_EPS_CONT_OPS</stp>
        <stp>FY 2015</stp>
        <stp>FY 2015</stp>
        <stp>[FIN 398-798 Model Building, CHOOSE function.xlsx]UNP Bloomberg Adj Highlights!R20C11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K20" s="4"/>
      </tp>
      <tp t="b">
        <v>0</v>
        <stp/>
        <stp>##V3_BDHV12</stp>
        <stp>UNP US Equity</stp>
        <stp>IS_DIL_EPS_CONT_OPS</stp>
        <stp>FY 2016</stp>
        <stp>FY 2016</stp>
        <stp>[FIN 398-798 Model Building, CHOOSE function.xlsx]UNP Bloomberg Adj Highlights!R20C12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L20" s="4"/>
      </tp>
      <tp t="b">
        <v>0</v>
        <stp/>
        <stp>##V3_BDHV12</stp>
        <stp>UNP US Equity</stp>
        <stp>GROSS_PROFIT</stp>
        <stp>FY 2008</stp>
        <stp>FY 2008</stp>
        <stp>[FIN 398-798 Model Building, CHOOSE function.xlsx]UNP Bloomberg Adj Highlights!R14C4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4" s="4"/>
      </tp>
      <tp t="b">
        <v>0</v>
        <stp/>
        <stp>##V3_BDHV12</stp>
        <stp>UNP US Equity</stp>
        <stp>SALES_REV_TURN</stp>
        <stp>FY 2014</stp>
        <stp>FY 2014</stp>
        <stp>[FIN 398-798 Model Building, CHOOSE function.xlsx]UNP Bloomberg Adj Highlights!R12C10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2" s="4"/>
      </tp>
      <tp t="b">
        <v>0</v>
        <stp/>
        <stp>##V3_BDHV12</stp>
        <stp>UNP US Equity</stp>
        <stp>SALES_GROWTH</stp>
        <stp>FY 2011</stp>
        <stp>FY 2011</stp>
        <stp>[FIN 398-798 Model Building, CHOOSE function.xlsx]UNP Bloomberg Adj Highlights!R13C7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3" s="4"/>
      </tp>
      <tp t="b">
        <v>0</v>
        <stp/>
        <stp>##V3_BDHV12</stp>
        <stp>UNP US Equity</stp>
        <stp>SALES_GROWTH</stp>
        <stp>FY 2010</stp>
        <stp>FY 2010</stp>
        <stp>[FIN 398-798 Model Building, CHOOSE function.xlsx]UNP Bloomberg Adj Highlights!R13C6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3" s="4"/>
      </tp>
      <tp t="b">
        <v>0</v>
        <stp/>
        <stp>##V3_BDHV12</stp>
        <stp>UNP US Equity</stp>
        <stp>SALES_GROWTH</stp>
        <stp>FY 2009</stp>
        <stp>FY 2009</stp>
        <stp>[FIN 398-798 Model Building, CHOOSE function.xlsx]UNP Bloomberg Adj Highlights!R13C5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3" s="4"/>
      </tp>
      <tp t="b">
        <v>0</v>
        <stp/>
        <stp>##V3_BDHV12</stp>
        <stp>UNP US Equity</stp>
        <stp>SALES_GROWTH</stp>
        <stp>FY 2008</stp>
        <stp>FY 2008</stp>
        <stp>[FIN 398-798 Model Building, CHOOSE function.xlsx]UNP Bloomberg Adj Highlights!R13C4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3" s="4"/>
      </tp>
      <tp t="b">
        <v>0</v>
        <stp/>
        <stp>##V3_BDHV12</stp>
        <stp>UNP US Equity</stp>
        <stp>SALES_GROWTH</stp>
        <stp>FY 2007</stp>
        <stp>FY 2007</stp>
        <stp>[FIN 398-798 Model Building, CHOOSE function.xlsx]UNP Bloomberg Adj Highlights!R13C3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3" s="4"/>
      </tp>
      <tp t="b">
        <v>0</v>
        <stp/>
        <stp>##V3_BDHV12</stp>
        <stp>UNP US Equity</stp>
        <stp>SALES_GROWTH</stp>
        <stp>FY 2013</stp>
        <stp>FY 2013</stp>
        <stp>[FIN 398-798 Model Building, CHOOSE function.xlsx]UNP Bloomberg Adj Highlights!R13C9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3" s="4"/>
      </tp>
      <tp t="b">
        <v>0</v>
        <stp/>
        <stp>##V3_BDHV12</stp>
        <stp>UNP US Equity</stp>
        <stp>SALES_GROWTH</stp>
        <stp>FY 2012</stp>
        <stp>FY 2012</stp>
        <stp>[FIN 398-798 Model Building, CHOOSE function.xlsx]UNP Bloomberg Adj Highlights!R13C8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3" s="4"/>
      </tp>
      <tp t="b">
        <v>0</v>
        <stp/>
        <stp>##V3_BDHV12</stp>
        <stp>UNP US Equity</stp>
        <stp>GROSS_PROFIT</stp>
        <stp>FY 2009</stp>
        <stp>FY 2009</stp>
        <stp>[FIN 398-798 Model Building, CHOOSE function.xlsx]UNP Bloomberg Adj Highlights!R14C5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4" s="4"/>
      </tp>
      <tp t="b">
        <v>0</v>
        <stp/>
        <stp>##V3_BDHV12</stp>
        <stp>UNP US Equity</stp>
        <stp>ENTERPRISE_VALUE</stp>
        <stp>FY 2014</stp>
        <stp>FY 2014</stp>
        <stp>[FIN 398-798 Model Building, CHOOSE function.xlsx]UNP Bloomberg Adj Highlights!R10C10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10" s="4"/>
      </tp>
      <tp t="b">
        <v>0</v>
        <stp/>
        <stp>##V3_BDHV12</stp>
        <stp>UNP US Equity</stp>
        <stp>ENTERPRISE_VALUE</stp>
        <stp>FY 2015</stp>
        <stp>FY 2015</stp>
        <stp>[FIN 398-798 Model Building, CHOOSE function.xlsx]UNP Bloomberg Adj Highlights!R10C11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10" s="4"/>
      </tp>
      <tp t="b">
        <v>0</v>
        <stp/>
        <stp>##V3_BDHV12</stp>
        <stp>UNP US Equity</stp>
        <stp>ENTERPRISE_VALUE</stp>
        <stp>FY 2016</stp>
        <stp>FY 2016</stp>
        <stp>[FIN 398-798 Model Building, CHOOSE function.xlsx]UNP Bloomberg Adj Highlights!R10C12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10" s="4"/>
      </tp>
      <tp t="b">
        <v>0</v>
        <stp/>
        <stp>##V3_BDHV12</stp>
        <stp>UNP US Equity</stp>
        <stp>HISTORICAL_MARKET_CAP</stp>
        <stp>FY 2012</stp>
        <stp>FY 2012</stp>
        <stp>[FIN 398-798 Model Building, CHOOSE function.xlsx]UNP Bloomberg Adj Highlights!R6C8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6" s="4"/>
      </tp>
      <tp t="b">
        <v>0</v>
        <stp/>
        <stp>##V3_BDHV12</stp>
        <stp>UNP US Equity</stp>
        <stp>HISTORICAL_MARKET_CAP</stp>
        <stp>FY 2013</stp>
        <stp>FY 2013</stp>
        <stp>[FIN 398-798 Model Building, CHOOSE function.xlsx]UNP Bloomberg Adj Highlights!R6C9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6" s="4"/>
      </tp>
      <tp t="b">
        <v>0</v>
        <stp/>
        <stp>##V3_BDHV12</stp>
        <stp>UNP US Equity</stp>
        <stp>HISTORICAL_MARKET_CAP</stp>
        <stp>FY 2008</stp>
        <stp>FY 2008</stp>
        <stp>[FIN 398-798 Model Building, CHOOSE function.xlsx]UNP Bloomberg Adj Highlights!R6C4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6" s="4"/>
      </tp>
      <tp t="b">
        <v>0</v>
        <stp/>
        <stp>##V3_BDHV12</stp>
        <stp>UNP US Equity</stp>
        <stp>HISTORICAL_MARKET_CAP</stp>
        <stp>FY 2009</stp>
        <stp>FY 2009</stp>
        <stp>[FIN 398-798 Model Building, CHOOSE function.xlsx]UNP Bloomberg Adj Highlights!R6C5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6" s="4"/>
      </tp>
      <tp t="b">
        <v>0</v>
        <stp/>
        <stp>##V3_BDHV12</stp>
        <stp>UNP US Equity</stp>
        <stp>HISTORICAL_MARKET_CAP</stp>
        <stp>FY 2010</stp>
        <stp>FY 2010</stp>
        <stp>[FIN 398-798 Model Building, CHOOSE function.xlsx]UNP Bloomberg Adj Highlights!R6C6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6" s="4"/>
      </tp>
      <tp t="b">
        <v>0</v>
        <stp/>
        <stp>##V3_BDHV12</stp>
        <stp>UNP US Equity</stp>
        <stp>HISTORICAL_MARKET_CAP</stp>
        <stp>FY 2011</stp>
        <stp>FY 2011</stp>
        <stp>[FIN 398-798 Model Building, CHOOSE function.xlsx]UNP Bloomberg Adj Highlights!R6C7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6" s="4"/>
      </tp>
      <tp t="b">
        <v>0</v>
        <stp/>
        <stp>##V3_BDHV12</stp>
        <stp>UNP US Equity</stp>
        <stp>HISTORICAL_MARKET_CAP</stp>
        <stp>FY 2007</stp>
        <stp>FY 2007</stp>
        <stp>[FIN 398-798 Model Building, CHOOSE function.xlsx]UNP Bloomberg Adj Highlights!R6C3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6" s="4"/>
      </tp>
      <tp t="b">
        <v>0</v>
        <stp/>
        <stp>##V3_BDHV12</stp>
        <stp>UNP US Equity</stp>
        <stp>SALES_REV_TURN</stp>
        <stp>FY 2015</stp>
        <stp>FY 2015</stp>
        <stp>[FIN 398-798 Model Building, CHOOSE function.xlsx]UNP Bloomberg Adj Highlights!R12C11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2" s="4"/>
      </tp>
      <tp t="b">
        <v>0</v>
        <stp/>
        <stp>##V3_BDHV12</stp>
        <stp>UNP US Equity</stp>
        <stp>CF_CASH_FROM_OPER</stp>
        <stp>FY 2016</stp>
        <stp>FY 2016</stp>
        <stp>[FIN 398-798 Model Building, CHOOSE function.xlsx]UNP Bloomberg Adj Highlights!R23C12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23" s="4"/>
      </tp>
      <tp t="b">
        <v>0</v>
        <stp/>
        <stp>##V3_BDHV12</stp>
        <stp>UNP US Equity</stp>
        <stp>CF_CASH_FROM_OPER</stp>
        <stp>FY 2014</stp>
        <stp>FY 2014</stp>
        <stp>[FIN 398-798 Model Building, CHOOSE function.xlsx]UNP Bloomberg Adj Highlights!R23C10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23" s="4"/>
      </tp>
      <tp t="b">
        <v>0</v>
        <stp/>
        <stp>##V3_BDHV12</stp>
        <stp>UNP US Equity</stp>
        <stp>CF_CASH_FROM_OPER</stp>
        <stp>FY 2015</stp>
        <stp>FY 2015</stp>
        <stp>[FIN 398-798 Model Building, CHOOSE function.xlsx]UNP Bloomberg Adj Highlights!R23C11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23" s="4"/>
      </tp>
      <tp t="b">
        <v>0</v>
        <stp/>
        <stp>##V3_BDHV12</stp>
        <stp>UNP US Equity</stp>
        <stp>GROSS_PROFIT</stp>
        <stp>FY 2010</stp>
        <stp>FY 2010</stp>
        <stp>[FIN 398-798 Model Building, CHOOSE function.xlsx]UNP Bloomberg Adj Highlights!R14C6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4" s="4"/>
      </tp>
      <tp t="b">
        <v>0</v>
        <stp/>
        <stp>##V3_BDHV12</stp>
        <stp>UNP US Equity</stp>
        <stp>SALES_REV_TURN</stp>
        <stp>FY 2016</stp>
        <stp>FY 2016</stp>
        <stp>[FIN 398-798 Model Building, CHOOSE function.xlsx]UNP Bloomberg Adj Highlights!R12C12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2" s="4"/>
      </tp>
      <tp t="b">
        <v>0</v>
        <stp/>
        <stp>##V3_BDHV12</stp>
        <stp>UNP US Equity</stp>
        <stp>GROSS_PROFIT</stp>
        <stp>FY 2011</stp>
        <stp>FY 2011</stp>
        <stp>[FIN 398-798 Model Building, CHOOSE function.xlsx]UNP Bloomberg Adj Highlights!R14C7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4" s="4"/>
      </tp>
      <tp t="b">
        <v>0</v>
        <stp/>
        <stp>##V3_BDHV12</stp>
        <stp>UNP US Equity</stp>
        <stp>GROSS_MARGIN</stp>
        <stp>FY 2012</stp>
        <stp>FY 2012</stp>
        <stp>[FIN 398-798 Model Building, CHOOSE function.xlsx]UNP Bloomberg Adj Highlights!R15C8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5" s="4"/>
      </tp>
      <tp t="b">
        <v>0</v>
        <stp/>
        <stp>##V3_BDHV12</stp>
        <stp>UNP US Equity</stp>
        <stp>GROSS_MARGIN</stp>
        <stp>FY 2013</stp>
        <stp>FY 2013</stp>
        <stp>[FIN 398-798 Model Building, CHOOSE function.xlsx]UNP Bloomberg Adj Highlights!R15C9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5" s="4"/>
      </tp>
      <tp t="b">
        <v>0</v>
        <stp/>
        <stp>##V3_BDHV12</stp>
        <stp>UNP US Equity</stp>
        <stp>GROSS_MARGIN</stp>
        <stp>FY 2010</stp>
        <stp>FY 2010</stp>
        <stp>[FIN 398-798 Model Building, CHOOSE function.xlsx]UNP Bloomberg Adj Highlights!R15C6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5" s="4"/>
      </tp>
      <tp t="b">
        <v>0</v>
        <stp/>
        <stp>##V3_BDHV12</stp>
        <stp>UNP US Equity</stp>
        <stp>GROSS_MARGIN</stp>
        <stp>FY 2011</stp>
        <stp>FY 2011</stp>
        <stp>[FIN 398-798 Model Building, CHOOSE function.xlsx]UNP Bloomberg Adj Highlights!R15C7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5" s="4"/>
      </tp>
      <tp t="b">
        <v>0</v>
        <stp/>
        <stp>##V3_BDHV12</stp>
        <stp>UNP US Equity</stp>
        <stp>GROSS_MARGIN</stp>
        <stp>FY 2008</stp>
        <stp>FY 2008</stp>
        <stp>[FIN 398-798 Model Building, CHOOSE function.xlsx]UNP Bloomberg Adj Highlights!R15C4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5" s="4"/>
      </tp>
      <tp t="b">
        <v>0</v>
        <stp/>
        <stp>##V3_BDHV12</stp>
        <stp>UNP US Equity</stp>
        <stp>GROSS_MARGIN</stp>
        <stp>FY 2009</stp>
        <stp>FY 2009</stp>
        <stp>[FIN 398-798 Model Building, CHOOSE function.xlsx]UNP Bloomberg Adj Highlights!R15C5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5" s="4"/>
      </tp>
      <tp t="b">
        <v>0</v>
        <stp/>
        <stp>##V3_BDHV12</stp>
        <stp>UNP US Equity</stp>
        <stp>GROSS_MARGIN</stp>
        <stp>FY 2007</stp>
        <stp>FY 2007</stp>
        <stp>[FIN 398-798 Model Building, CHOOSE function.xlsx]UNP Bloomberg Adj Highlights!R15C3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5" s="4"/>
      </tp>
      <tp t="b">
        <v>0</v>
        <stp/>
        <stp>##V3_BDHV12</stp>
        <stp>UNP US Equity</stp>
        <stp>GROSS_PROFIT</stp>
        <stp>FY 2007</stp>
        <stp>FY 2007</stp>
        <stp>[FIN 398-798 Model Building, CHOOSE function.xlsx]UNP Bloomberg Adj Highlights!R14C3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4" s="4"/>
      </tp>
      <tp t="b">
        <v>0</v>
        <stp/>
        <stp>##V3_BDHV12</stp>
        <stp>UNP US Equity</stp>
        <stp>EBITDA</stp>
        <stp>FY 2015</stp>
        <stp>FY 2015</stp>
        <stp>[FIN 398-798 Model Building, CHOOSE function.xlsx]UNP Bloomberg Adj Highlights!R16C11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6" s="4"/>
      </tp>
      <tp t="b">
        <v>0</v>
        <stp/>
        <stp>##V3_BDHV12</stp>
        <stp>UNP US Equity</stp>
        <stp>EBITDA</stp>
        <stp>FY 2014</stp>
        <stp>FY 2014</stp>
        <stp>[FIN 398-798 Model Building, CHOOSE function.xlsx]UNP Bloomberg Adj Highlights!R16C10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6" s="4"/>
      </tp>
      <tp t="b">
        <v>0</v>
        <stp/>
        <stp>##V3_BDHV12</stp>
        <stp>UNP US Equity</stp>
        <stp>EBITDA</stp>
        <stp>FY 2016</stp>
        <stp>FY 2016</stp>
        <stp>[FIN 398-798 Model Building, CHOOSE function.xlsx]UNP Bloomberg Adj Highlights!R16C12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6" s="4"/>
      </tp>
      <tp t="b">
        <v>0</v>
        <stp/>
        <stp>##V3_BDHV12</stp>
        <stp>UNP US Equity</stp>
        <stp>GROSS_PROFIT</stp>
        <stp>FY 2012</stp>
        <stp>FY 2012</stp>
        <stp>[FIN 398-798 Model Building, CHOOSE function.xlsx]UNP Bloomberg Adj Highlights!R14C8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4" s="4"/>
      </tp>
      <tp t="b">
        <v>0</v>
        <stp/>
        <stp>##V3_BDHV12</stp>
        <stp>UNP US Equity</stp>
        <stp>GROSS_PROFIT</stp>
        <stp>FY 2013</stp>
        <stp>FY 2013</stp>
        <stp>[FIN 398-798 Model Building, CHOOSE function.xlsx]UNP Bloomberg Adj Highlights!R14C9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4" s="4"/>
      </tp>
      <tp t="b">
        <v>0</v>
        <stp/>
        <stp>##V3_BDHV12</stp>
        <stp>UNP US Equity</stp>
        <stp>CF_FREE_CASH_FLOW</stp>
        <stp>FY 2016</stp>
        <stp>FY 2016</stp>
        <stp>[FIN 398-798 Model Building, CHOOSE function.xlsx]UNP Bloomberg Adj Highlights!R25C12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25" s="4"/>
      </tp>
      <tp t="b">
        <v>0</v>
        <stp/>
        <stp>##V3_BDHV12</stp>
        <stp>UNP US Equity</stp>
        <stp>CF_FREE_CASH_FLOW</stp>
        <stp>FY 2015</stp>
        <stp>FY 2015</stp>
        <stp>[FIN 398-798 Model Building, CHOOSE function.xlsx]UNP Bloomberg Adj Highlights!R25C11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25" s="4"/>
      </tp>
      <tp t="b">
        <v>0</v>
        <stp/>
        <stp>##V3_BDHV12</stp>
        <stp>UNP US Equity</stp>
        <stp>CF_FREE_CASH_FLOW</stp>
        <stp>FY 2014</stp>
        <stp>FY 2014</stp>
        <stp>[FIN 398-798 Model Building, CHOOSE function.xlsx]UNP Bloomberg Adj Highlights!R25C10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25" s="4"/>
      </tp>
      <tp t="b">
        <v>0</v>
        <stp/>
        <stp>##V3_BDHV12</stp>
        <stp>UNP US Equity</stp>
        <stp>PREFERRED_EQUITY_&amp;_MINORITY_INT</stp>
        <stp>FY 2016</stp>
        <stp>FY 2016</stp>
        <stp>[FIN 398-798 Model Building, CHOOSE function.xlsx]UNP Bloomberg Adj Highlights!R8C12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8" s="4"/>
      </tp>
      <tp t="b">
        <v>0</v>
        <stp/>
        <stp>##V3_BDHV12</stp>
        <stp>UNP US Equity</stp>
        <stp>PREFERRED_EQUITY_&amp;_MINORITY_INT</stp>
        <stp>FY 2014</stp>
        <stp>FY 2014</stp>
        <stp>[FIN 398-798 Model Building, CHOOSE function.xlsx]UNP Bloomberg Adj Highlights!R8C10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8" s="4"/>
      </tp>
      <tp t="b">
        <v>0</v>
        <stp/>
        <stp>##V3_BDHV12</stp>
        <stp>UNP US Equity</stp>
        <stp>PREFERRED_EQUITY_&amp;_MINORITY_INT</stp>
        <stp>FY 2015</stp>
        <stp>FY 2015</stp>
        <stp>[FIN 398-798 Model Building, CHOOSE function.xlsx]UNP Bloomberg Adj Highlights!R8C11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8" s="4"/>
      </tp>
      <tp t="b">
        <v>0</v>
        <stp/>
        <stp>##V3_BDHV12</stp>
        <stp>UNP US Equity</stp>
        <stp>PREFERRED_EQUITY_&amp;_MINORITY_INT</stp>
        <stp>FY 2013</stp>
        <stp>FY 2013</stp>
        <stp>[FIN 398-798 Model Building, CHOOSE function.xlsx]UNP Bloomberg Adj Highlights!R8C9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8" s="4"/>
      </tp>
      <tp t="b">
        <v>0</v>
        <stp/>
        <stp>##V3_BDHV12</stp>
        <stp>UNP US Equity</stp>
        <stp>PREFERRED_EQUITY_&amp;_MINORITY_INT</stp>
        <stp>FY 2012</stp>
        <stp>FY 2012</stp>
        <stp>[FIN 398-798 Model Building, CHOOSE function.xlsx]UNP Bloomberg Adj Highlights!R8C8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8" s="4"/>
      </tp>
      <tp t="b">
        <v>0</v>
        <stp/>
        <stp>##V3_BDHV12</stp>
        <stp>UNP US Equity</stp>
        <stp>PREFERRED_EQUITY_&amp;_MINORITY_INT</stp>
        <stp>FY 2007</stp>
        <stp>FY 2007</stp>
        <stp>[FIN 398-798 Model Building, CHOOSE function.xlsx]UNP Bloomberg Adj Highlights!R8C3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8" s="4"/>
      </tp>
      <tp t="b">
        <v>0</v>
        <stp/>
        <stp>##V3_BDHV12</stp>
        <stp>UNP US Equity</stp>
        <stp>PREFERRED_EQUITY_&amp;_MINORITY_INT</stp>
        <stp>FY 2011</stp>
        <stp>FY 2011</stp>
        <stp>[FIN 398-798 Model Building, CHOOSE function.xlsx]UNP Bloomberg Adj Highlights!R8C7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8" s="4"/>
      </tp>
      <tp t="b">
        <v>0</v>
        <stp/>
        <stp>##V3_BDHV12</stp>
        <stp>UNP US Equity</stp>
        <stp>PREFERRED_EQUITY_&amp;_MINORITY_INT</stp>
        <stp>FY 2010</stp>
        <stp>FY 2010</stp>
        <stp>[FIN 398-798 Model Building, CHOOSE function.xlsx]UNP Bloomberg Adj Highlights!R8C6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8" s="4"/>
      </tp>
      <tp t="b">
        <v>0</v>
        <stp/>
        <stp>##V3_BDHV12</stp>
        <stp>UNP US Equity</stp>
        <stp>PREFERRED_EQUITY_&amp;_MINORITY_INT</stp>
        <stp>FY 2009</stp>
        <stp>FY 2009</stp>
        <stp>[FIN 398-798 Model Building, CHOOSE function.xlsx]UNP Bloomberg Adj Highlights!R8C5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8" s="4"/>
      </tp>
      <tp t="b">
        <v>0</v>
        <stp/>
        <stp>##V3_BDHV12</stp>
        <stp>UNP US Equity</stp>
        <stp>PREFERRED_EQUITY_&amp;_MINORITY_INT</stp>
        <stp>FY 2008</stp>
        <stp>FY 2008</stp>
        <stp>[FIN 398-798 Model Building, CHOOSE function.xlsx]UNP Bloomberg Adj Highlights!R8C4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8" s="4"/>
      </tp>
      <tp t="b">
        <v>0</v>
        <stp/>
        <stp>##V3_BDHV12</stp>
        <stp>UNP US Equity</stp>
        <stp>EBITDA_TO_REVENUE</stp>
        <stp>FY 2012</stp>
        <stp>FY 2012</stp>
        <stp>[FIN 398-798 Model Building, CHOOSE function.xlsx]UNP Bloomberg Adj Highlights!R17C8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7" s="4"/>
      </tp>
      <tp t="b">
        <v>0</v>
        <stp/>
        <stp>##V3_BDHV12</stp>
        <stp>UNP US Equity</stp>
        <stp>EBITDA_TO_REVENUE</stp>
        <stp>FY 2013</stp>
        <stp>FY 2013</stp>
        <stp>[FIN 398-798 Model Building, CHOOSE function.xlsx]UNP Bloomberg Adj Highlights!R17C9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7" s="4"/>
      </tp>
      <tp t="b">
        <v>0</v>
        <stp/>
        <stp>##V3_BDHV12</stp>
        <stp>UNP US Equity</stp>
        <stp>EBITDA_TO_REVENUE</stp>
        <stp>FY 2008</stp>
        <stp>FY 2008</stp>
        <stp>[FIN 398-798 Model Building, CHOOSE function.xlsx]UNP Bloomberg Adj Highlights!R17C4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7" s="4"/>
      </tp>
      <tp t="b">
        <v>0</v>
        <stp/>
        <stp>##V3_BDHV12</stp>
        <stp>UNP US Equity</stp>
        <stp>EBITDA_TO_REVENUE</stp>
        <stp>FY 2009</stp>
        <stp>FY 2009</stp>
        <stp>[FIN 398-798 Model Building, CHOOSE function.xlsx]UNP Bloomberg Adj Highlights!R17C5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7" s="4"/>
      </tp>
      <tp t="b">
        <v>0</v>
        <stp/>
        <stp>##V3_BDHV12</stp>
        <stp>UNP US Equity</stp>
        <stp>EBITDA_TO_REVENUE</stp>
        <stp>FY 2010</stp>
        <stp>FY 2010</stp>
        <stp>[FIN 398-798 Model Building, CHOOSE function.xlsx]UNP Bloomberg Adj Highlights!R17C6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7" s="4"/>
      </tp>
      <tp t="b">
        <v>0</v>
        <stp/>
        <stp>##V3_BDHV12</stp>
        <stp>UNP US Equity</stp>
        <stp>EBITDA_TO_REVENUE</stp>
        <stp>FY 2011</stp>
        <stp>FY 2011</stp>
        <stp>[FIN 398-798 Model Building, CHOOSE function.xlsx]UNP Bloomberg Adj Highlights!R17C7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7" s="4"/>
      </tp>
      <tp t="b">
        <v>0</v>
        <stp/>
        <stp>##V3_BDHV12</stp>
        <stp>UNP US Equity</stp>
        <stp>EBITDA_TO_REVENUE</stp>
        <stp>FY 2007</stp>
        <stp>FY 2007</stp>
        <stp>[FIN 398-798 Model Building, CHOOSE function.xlsx]UNP Bloomberg Adj Highlights!R17C3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7" s="4"/>
      </tp>
      <tp t="b">
        <v>0</v>
        <stp/>
        <stp>##V3_BDHV12</stp>
        <stp>UNP US Equity</stp>
        <stp>NET_INCOME_TO_COMMON_MARGIN</stp>
        <stp>FY 2015</stp>
        <stp>FY 2015</stp>
        <stp>[FIN 398-798 Model Building, CHOOSE function.xlsx]UNP Bloomberg Adj Highlights!R19C11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9" s="4"/>
      </tp>
      <tp t="b">
        <v>0</v>
        <stp/>
        <stp>##V3_BDHV12</stp>
        <stp>UNP US Equity</stp>
        <stp>NET_INCOME_TO_COMMON_MARGIN</stp>
        <stp>FY 2014</stp>
        <stp>FY 2014</stp>
        <stp>[FIN 398-798 Model Building, CHOOSE function.xlsx]UNP Bloomberg Adj Highlights!R19C10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9" s="4"/>
      </tp>
      <tp t="b">
        <v>0</v>
        <stp/>
        <stp>##V3_BDHV12</stp>
        <stp>UNP US Equity</stp>
        <stp>NET_INCOME_TO_COMMON_MARGIN</stp>
        <stp>FY 2016</stp>
        <stp>FY 2016</stp>
        <stp>[FIN 398-798 Model Building, CHOOSE function.xlsx]UNP Bloomberg Adj Highlights!R19C12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9" s="4"/>
      </tp>
      <tp t="b">
        <v>0</v>
        <stp/>
        <stp>##V3_BDHV12</stp>
        <stp>UNP US Equity</stp>
        <stp>NET_INCOME_TO_COMMON_MARGIN</stp>
        <stp>FY 2013</stp>
        <stp>FY 2013</stp>
        <stp>[FIN 398-798 Model Building, CHOOSE function.xlsx]UNP Bloomberg Adj Highlights!R19C9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9" s="4"/>
      </tp>
      <tp t="b">
        <v>0</v>
        <stp/>
        <stp>##V3_BDHV12</stp>
        <stp>UNP US Equity</stp>
        <stp>NET_INCOME_TO_COMMON_MARGIN</stp>
        <stp>FY 2012</stp>
        <stp>FY 2012</stp>
        <stp>[FIN 398-798 Model Building, CHOOSE function.xlsx]UNP Bloomberg Adj Highlights!R19C8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9" s="4"/>
      </tp>
      <tp t="b">
        <v>0</v>
        <stp/>
        <stp>##V3_BDHV12</stp>
        <stp>UNP US Equity</stp>
        <stp>NET_INCOME_TO_COMMON_MARGIN</stp>
        <stp>FY 2007</stp>
        <stp>FY 2007</stp>
        <stp>[FIN 398-798 Model Building, CHOOSE function.xlsx]UNP Bloomberg Adj Highlights!R19C3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9" s="4"/>
      </tp>
      <tp t="b">
        <v>0</v>
        <stp/>
        <stp>##V3_BDHV12</stp>
        <stp>UNP US Equity</stp>
        <stp>NET_INCOME_TO_COMMON_MARGIN</stp>
        <stp>FY 2009</stp>
        <stp>FY 2009</stp>
        <stp>[FIN 398-798 Model Building, CHOOSE function.xlsx]UNP Bloomberg Adj Highlights!R19C5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9" s="4"/>
      </tp>
      <tp t="b">
        <v>0</v>
        <stp/>
        <stp>##V3_BDHV12</stp>
        <stp>UNP US Equity</stp>
        <stp>NET_INCOME_TO_COMMON_MARGIN</stp>
        <stp>FY 2008</stp>
        <stp>FY 2008</stp>
        <stp>[FIN 398-798 Model Building, CHOOSE function.xlsx]UNP Bloomberg Adj Highlights!R19C4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9" s="4"/>
      </tp>
      <tp t="b">
        <v>0</v>
        <stp/>
        <stp>##V3_BDHV12</stp>
        <stp>UNP US Equity</stp>
        <stp>NET_INCOME_TO_COMMON_MARGIN</stp>
        <stp>FY 2011</stp>
        <stp>FY 2011</stp>
        <stp>[FIN 398-798 Model Building, CHOOSE function.xlsx]UNP Bloomberg Adj Highlights!R19C7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9" s="4"/>
      </tp>
      <tp t="b">
        <v>0</v>
        <stp/>
        <stp>##V3_BDHV12</stp>
        <stp>UNP US Equity</stp>
        <stp>NET_INCOME_TO_COMMON_MARGIN</stp>
        <stp>FY 2010</stp>
        <stp>FY 2010</stp>
        <stp>[FIN 398-798 Model Building, CHOOSE function.xlsx]UNP Bloomberg Adj Highlights!R19C6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9" s="4"/>
      </tp>
      <tp t="b">
        <v>0</v>
        <stp/>
        <stp>##V3_BDHV12</stp>
        <stp>UNP US Equity</stp>
        <stp>CAPITAL_EXPEND</stp>
        <stp>FY 2015</stp>
        <stp>FY 2015</stp>
        <stp>[FIN 398-798 Model Building, CHOOSE function.xlsx]UNP Bloomberg Adj Highlights!R24C11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24" s="4"/>
      </tp>
      <tp t="b">
        <v>0</v>
        <stp/>
        <stp>##V3_BDHV12</stp>
        <stp>UNP US Equity</stp>
        <stp>CAPITAL_EXPEND</stp>
        <stp>FY 2014</stp>
        <stp>FY 2014</stp>
        <stp>[FIN 398-798 Model Building, CHOOSE function.xlsx]UNP Bloomberg Adj Highlights!R24C10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24" s="4"/>
      </tp>
      <tp t="b">
        <v>0</v>
        <stp/>
        <stp>##V3_BDHV12</stp>
        <stp>UNP US Equity</stp>
        <stp>CAPITAL_EXPEND</stp>
        <stp>FY 2016</stp>
        <stp>FY 2016</stp>
        <stp>[FIN 398-798 Model Building, CHOOSE function.xlsx]UNP Bloomberg Adj Highlights!R24C12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24" s="4"/>
      </tp>
      <tp t="b">
        <v>0</v>
        <stp/>
        <stp>##V3_BDHV12</stp>
        <stp>UNP US Equity</stp>
        <stp>ENTERPRISE_VALUE</stp>
        <stp>FY 2010</stp>
        <stp>FY 2010</stp>
        <stp>[FIN 398-798 Model Building, CHOOSE function.xlsx]UNP Bloomberg Adj Highlights!R10C6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10" s="4"/>
      </tp>
      <tp t="b">
        <v>0</v>
        <stp/>
        <stp>##V3_BDHV12</stp>
        <stp>UNP US Equity</stp>
        <stp>ENTERPRISE_VALUE</stp>
        <stp>FY 2011</stp>
        <stp>FY 2011</stp>
        <stp>[FIN 398-798 Model Building, CHOOSE function.xlsx]UNP Bloomberg Adj Highlights!R10C7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10" s="4"/>
      </tp>
      <tp t="b">
        <v>0</v>
        <stp/>
        <stp>##V3_BDHV12</stp>
        <stp>UNP US Equity</stp>
        <stp>ENTERPRISE_VALUE</stp>
        <stp>FY 2008</stp>
        <stp>FY 2008</stp>
        <stp>[FIN 398-798 Model Building, CHOOSE function.xlsx]UNP Bloomberg Adj Highlights!R10C4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10" s="4"/>
      </tp>
      <tp t="b">
        <v>0</v>
        <stp/>
        <stp>##V3_BDHV12</stp>
        <stp>UNP US Equity</stp>
        <stp>ENTERPRISE_VALUE</stp>
        <stp>FY 2009</stp>
        <stp>FY 2009</stp>
        <stp>[FIN 398-798 Model Building, CHOOSE function.xlsx]UNP Bloomberg Adj Highlights!R10C5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10" s="4"/>
      </tp>
      <tp t="b">
        <v>0</v>
        <stp/>
        <stp>##V3_BDHV12</stp>
        <stp>UNP US Equity</stp>
        <stp>ENTERPRISE_VALUE</stp>
        <stp>FY 2007</stp>
        <stp>FY 2007</stp>
        <stp>[FIN 398-798 Model Building, CHOOSE function.xlsx]UNP Bloomberg Adj Highlights!R10C3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10" s="4"/>
      </tp>
      <tp t="b">
        <v>0</v>
        <stp/>
        <stp>##V3_BDHV12</stp>
        <stp>UNP US Equity</stp>
        <stp>ENTERPRISE_VALUE</stp>
        <stp>FY 2012</stp>
        <stp>FY 2012</stp>
        <stp>[FIN 398-798 Model Building, CHOOSE function.xlsx]UNP Bloomberg Adj Highlights!R10C8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10" s="4"/>
      </tp>
      <tp t="b">
        <v>0</v>
        <stp/>
        <stp>##V3_BDHV12</stp>
        <stp>UNP US Equity</stp>
        <stp>ENTERPRISE_VALUE</stp>
        <stp>FY 2013</stp>
        <stp>FY 2013</stp>
        <stp>[FIN 398-798 Model Building, CHOOSE function.xlsx]UNP Bloomberg Adj Highlights!R10C9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10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134938</xdr:colOff>
      <xdr:row>1</xdr:row>
      <xdr:rowOff>162718</xdr:rowOff>
    </xdr:from>
    <xdr:to>
      <xdr:col>8</xdr:col>
      <xdr:colOff>353219</xdr:colOff>
      <xdr:row>17</xdr:row>
      <xdr:rowOff>154781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0E5088-0F4A-4A63-A511-87D81833FD41}"/>
            </a:ext>
          </a:extLst>
        </xdr:cNvPr>
        <xdr:cNvSpPr txBox="1"/>
      </xdr:nvSpPr>
      <xdr:spPr>
        <a:xfrm>
          <a:off x="2516188" y="333375"/>
          <a:ext cx="3837781" cy="272256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JJV:</a:t>
          </a:r>
        </a:p>
        <a:p>
          <a:r>
            <a:rPr lang="en-US" sz="1100"/>
            <a:t>May want to create a new video to:</a:t>
          </a:r>
        </a:p>
        <a:p>
          <a:r>
            <a:rPr lang="en-US" sz="1100"/>
            <a:t>1. Change</a:t>
          </a:r>
          <a:r>
            <a:rPr lang="en-US" sz="1100" baseline="0"/>
            <a:t> order to base-case, upside, downside</a:t>
          </a:r>
        </a:p>
        <a:p>
          <a:r>
            <a:rPr lang="en-US" sz="1100" baseline="0"/>
            <a:t>2. Separate the forecasting of EPS and forecasting of price targets as separate LOs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AnalystSolutions">
      <a:dk1>
        <a:srgbClr val="002868"/>
      </a:dk1>
      <a:lt1>
        <a:srgbClr val="FFFFFF"/>
      </a:lt1>
      <a:dk2>
        <a:srgbClr val="002868"/>
      </a:dk2>
      <a:lt2>
        <a:srgbClr val="C8C8C8"/>
      </a:lt2>
      <a:accent1>
        <a:srgbClr val="002868"/>
      </a:accent1>
      <a:accent2>
        <a:srgbClr val="D2B790"/>
      </a:accent2>
      <a:accent3>
        <a:srgbClr val="CDE0FF"/>
      </a:accent3>
      <a:accent4>
        <a:srgbClr val="1D2121"/>
      </a:accent4>
      <a:accent5>
        <a:srgbClr val="002868"/>
      </a:accent5>
      <a:accent6>
        <a:srgbClr val="D2B790"/>
      </a:accent6>
      <a:hlink>
        <a:srgbClr val="002868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3.5" x14ac:dyDescent="0.35"/>
  <cols>
    <col min="1" max="1" width="29.23046875" style="1" customWidth="1"/>
    <col min="2" max="2" width="9.23046875" style="1"/>
    <col min="3" max="12" width="9.765625" style="1" bestFit="1" customWidth="1"/>
    <col min="13" max="13" width="9.84375" bestFit="1" customWidth="1"/>
    <col min="14" max="15" width="9.765625" bestFit="1" customWidth="1"/>
  </cols>
  <sheetData>
    <row r="1" spans="1:15" s="11" customFormat="1" x14ac:dyDescent="0.35">
      <c r="C1" s="11" t="s">
        <v>145</v>
      </c>
      <c r="D1" s="11" t="s">
        <v>146</v>
      </c>
      <c r="E1" s="11" t="s">
        <v>147</v>
      </c>
      <c r="F1" s="11" t="s">
        <v>148</v>
      </c>
      <c r="G1" s="11" t="s">
        <v>149</v>
      </c>
      <c r="H1" s="11" t="s">
        <v>150</v>
      </c>
      <c r="I1" s="11" t="s">
        <v>151</v>
      </c>
      <c r="J1" s="11" t="s">
        <v>152</v>
      </c>
      <c r="K1" s="11" t="s">
        <v>153</v>
      </c>
      <c r="L1" s="11" t="s">
        <v>154</v>
      </c>
      <c r="M1" s="11" t="s">
        <v>155</v>
      </c>
      <c r="N1" s="11" t="s">
        <v>156</v>
      </c>
      <c r="O1" s="11" t="s">
        <v>157</v>
      </c>
    </row>
    <row r="3" spans="1:15" s="1" customFormat="1" x14ac:dyDescent="0.35">
      <c r="A3" s="1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x14ac:dyDescent="0.35">
      <c r="A4" s="1" t="s">
        <v>21</v>
      </c>
      <c r="C4" s="3">
        <v>3453</v>
      </c>
      <c r="D4" s="3">
        <v>3165</v>
      </c>
      <c r="E4" s="3">
        <v>2775</v>
      </c>
      <c r="F4" s="3">
        <v>3313</v>
      </c>
      <c r="G4" s="3">
        <v>3254</v>
      </c>
      <c r="H4" s="3">
        <v>3312</v>
      </c>
      <c r="I4" s="3">
        <v>3325</v>
      </c>
      <c r="J4" s="3">
        <v>3591</v>
      </c>
      <c r="K4" s="3">
        <v>3488</v>
      </c>
      <c r="L4" s="3">
        <v>3262</v>
      </c>
      <c r="M4" s="3">
        <f>L4*(1+M5)</f>
        <v>3262</v>
      </c>
      <c r="N4" s="3">
        <f t="shared" ref="N4:O4" si="0">M4*(1+N5)</f>
        <v>3262</v>
      </c>
      <c r="O4" s="3">
        <f t="shared" si="0"/>
        <v>3262</v>
      </c>
    </row>
    <row r="5" spans="1:15" s="1" customFormat="1" x14ac:dyDescent="0.35">
      <c r="A5" s="1" t="s">
        <v>138</v>
      </c>
      <c r="C5" s="3"/>
      <c r="D5" s="7">
        <f>D4/C4-1</f>
        <v>-8.3405734144222365E-2</v>
      </c>
      <c r="E5" s="7">
        <f t="shared" ref="E5:L5" si="1">E4/D4-1</f>
        <v>-0.12322274881516593</v>
      </c>
      <c r="F5" s="7">
        <f t="shared" si="1"/>
        <v>0.19387387387387389</v>
      </c>
      <c r="G5" s="7">
        <f t="shared" si="1"/>
        <v>-1.780863265922128E-2</v>
      </c>
      <c r="H5" s="7">
        <f t="shared" si="1"/>
        <v>1.782421634910869E-2</v>
      </c>
      <c r="I5" s="7">
        <f t="shared" si="1"/>
        <v>3.9251207729469328E-3</v>
      </c>
      <c r="J5" s="7">
        <f t="shared" si="1"/>
        <v>8.0000000000000071E-2</v>
      </c>
      <c r="K5" s="7">
        <f t="shared" si="1"/>
        <v>-2.8682818156502421E-2</v>
      </c>
      <c r="L5" s="7">
        <f t="shared" si="1"/>
        <v>-6.4793577981651418E-2</v>
      </c>
      <c r="M5" s="8">
        <v>0</v>
      </c>
      <c r="N5" s="8">
        <v>0</v>
      </c>
      <c r="O5" s="8">
        <v>0</v>
      </c>
    </row>
    <row r="6" spans="1:15" s="1" customFormat="1" x14ac:dyDescent="0.35">
      <c r="A6" s="1" t="s">
        <v>22</v>
      </c>
      <c r="C6" s="3">
        <v>2299</v>
      </c>
      <c r="D6" s="3">
        <v>2348</v>
      </c>
      <c r="E6" s="3">
        <v>2021</v>
      </c>
      <c r="F6" s="3">
        <v>2056</v>
      </c>
      <c r="G6" s="3">
        <v>2164</v>
      </c>
      <c r="H6" s="3">
        <v>1871</v>
      </c>
      <c r="I6" s="3">
        <v>1703</v>
      </c>
      <c r="J6" s="3">
        <v>1768</v>
      </c>
      <c r="K6" s="3">
        <v>1459</v>
      </c>
      <c r="L6" s="3">
        <v>1166</v>
      </c>
      <c r="M6" s="3">
        <f>L6*(1+M7)</f>
        <v>1166</v>
      </c>
      <c r="N6" s="3">
        <f t="shared" ref="N6" si="2">M6*(1+N7)</f>
        <v>1166</v>
      </c>
      <c r="O6" s="3">
        <f t="shared" ref="O6" si="3">N6*(1+O7)</f>
        <v>1166</v>
      </c>
    </row>
    <row r="7" spans="1:15" s="1" customFormat="1" x14ac:dyDescent="0.35">
      <c r="A7" s="1" t="s">
        <v>138</v>
      </c>
      <c r="C7" s="3"/>
      <c r="D7" s="7">
        <f>D6/C6-1</f>
        <v>2.1313614615050103E-2</v>
      </c>
      <c r="E7" s="7">
        <f t="shared" ref="E7" si="4">E6/D6-1</f>
        <v>-0.13926746166950599</v>
      </c>
      <c r="F7" s="7">
        <f t="shared" ref="F7" si="5">F6/E6-1</f>
        <v>1.7318159327065707E-2</v>
      </c>
      <c r="G7" s="7">
        <f t="shared" ref="G7" si="6">G6/F6-1</f>
        <v>5.2529182879377467E-2</v>
      </c>
      <c r="H7" s="7">
        <f t="shared" ref="H7" si="7">H6/G6-1</f>
        <v>-0.13539741219963031</v>
      </c>
      <c r="I7" s="7">
        <f t="shared" ref="I7" si="8">I6/H6-1</f>
        <v>-8.9791555318011751E-2</v>
      </c>
      <c r="J7" s="7">
        <f t="shared" ref="J7" si="9">J6/I6-1</f>
        <v>3.8167938931297662E-2</v>
      </c>
      <c r="K7" s="7">
        <f t="shared" ref="K7" si="10">K6/J6-1</f>
        <v>-0.17477375565610864</v>
      </c>
      <c r="L7" s="7">
        <f t="shared" ref="L7" si="11">L6/K6-1</f>
        <v>-0.20082248115147361</v>
      </c>
      <c r="M7" s="8">
        <v>0</v>
      </c>
      <c r="N7" s="8">
        <v>0</v>
      </c>
      <c r="O7" s="8">
        <v>0</v>
      </c>
    </row>
    <row r="8" spans="1:15" s="1" customFormat="1" x14ac:dyDescent="0.35">
      <c r="A8" s="1" t="s">
        <v>23</v>
      </c>
      <c r="C8" s="3">
        <v>1325</v>
      </c>
      <c r="D8" s="3">
        <v>1249</v>
      </c>
      <c r="E8" s="3">
        <v>899</v>
      </c>
      <c r="F8" s="3">
        <v>1073</v>
      </c>
      <c r="G8" s="3">
        <v>1146</v>
      </c>
      <c r="H8" s="3">
        <v>1185</v>
      </c>
      <c r="I8" s="3">
        <v>1236</v>
      </c>
      <c r="J8" s="3">
        <v>1368</v>
      </c>
      <c r="K8" s="3">
        <v>1213</v>
      </c>
      <c r="L8" s="3">
        <v>1097</v>
      </c>
      <c r="M8" s="3">
        <f>L8*(1+M9)</f>
        <v>1097</v>
      </c>
      <c r="N8" s="3">
        <f t="shared" ref="N8" si="12">M8*(1+N9)</f>
        <v>1097</v>
      </c>
      <c r="O8" s="3">
        <f t="shared" ref="O8" si="13">N8*(1+O9)</f>
        <v>1097</v>
      </c>
    </row>
    <row r="9" spans="1:15" s="1" customFormat="1" x14ac:dyDescent="0.35">
      <c r="A9" s="1" t="s">
        <v>138</v>
      </c>
      <c r="C9" s="3"/>
      <c r="D9" s="7">
        <f>D8/C8-1</f>
        <v>-5.7358490566037701E-2</v>
      </c>
      <c r="E9" s="7">
        <f t="shared" ref="E9" si="14">E8/D8-1</f>
        <v>-0.28022417934347477</v>
      </c>
      <c r="F9" s="7">
        <f t="shared" ref="F9" si="15">F8/E8-1</f>
        <v>0.19354838709677424</v>
      </c>
      <c r="G9" s="7">
        <f t="shared" ref="G9" si="16">G8/F8-1</f>
        <v>6.8033550792171438E-2</v>
      </c>
      <c r="H9" s="7">
        <f t="shared" ref="H9" si="17">H8/G8-1</f>
        <v>3.4031413612565453E-2</v>
      </c>
      <c r="I9" s="7">
        <f t="shared" ref="I9" si="18">I8/H8-1</f>
        <v>4.3037974683544311E-2</v>
      </c>
      <c r="J9" s="7">
        <f t="shared" ref="J9" si="19">J8/I8-1</f>
        <v>0.10679611650485432</v>
      </c>
      <c r="K9" s="7">
        <f t="shared" ref="K9" si="20">K8/J8-1</f>
        <v>-0.11330409356725146</v>
      </c>
      <c r="L9" s="7">
        <f t="shared" ref="L9" si="21">L8/K8-1</f>
        <v>-9.5630667765869704E-2</v>
      </c>
      <c r="M9" s="8">
        <v>0</v>
      </c>
      <c r="N9" s="8">
        <v>0</v>
      </c>
      <c r="O9" s="8">
        <v>0</v>
      </c>
    </row>
    <row r="10" spans="1:15" s="1" customFormat="1" x14ac:dyDescent="0.35">
      <c r="A10" s="1" t="s">
        <v>24</v>
      </c>
      <c r="C10" s="3">
        <v>928</v>
      </c>
      <c r="D10" s="3">
        <v>885</v>
      </c>
      <c r="E10" s="3">
        <v>761</v>
      </c>
      <c r="F10" s="3">
        <v>844</v>
      </c>
      <c r="G10" s="3">
        <v>921</v>
      </c>
      <c r="H10" s="3">
        <v>1042</v>
      </c>
      <c r="I10" s="3">
        <v>1103</v>
      </c>
      <c r="J10" s="3">
        <v>1116</v>
      </c>
      <c r="K10" s="3">
        <v>1098</v>
      </c>
      <c r="L10" s="3">
        <v>1074</v>
      </c>
      <c r="M10" s="3">
        <f>L10*(1+M11)</f>
        <v>1074</v>
      </c>
      <c r="N10" s="3">
        <f t="shared" ref="N10" si="22">M10*(1+N11)</f>
        <v>1074</v>
      </c>
      <c r="O10" s="3">
        <f t="shared" ref="O10" si="23">N10*(1+O11)</f>
        <v>1074</v>
      </c>
    </row>
    <row r="11" spans="1:15" s="1" customFormat="1" x14ac:dyDescent="0.35">
      <c r="A11" s="1" t="s">
        <v>138</v>
      </c>
      <c r="C11" s="3"/>
      <c r="D11" s="7">
        <f>D10/C10-1</f>
        <v>-4.6336206896551713E-2</v>
      </c>
      <c r="E11" s="7">
        <f t="shared" ref="E11" si="24">E10/D10-1</f>
        <v>-0.14011299435028246</v>
      </c>
      <c r="F11" s="7">
        <f t="shared" ref="F11" si="25">F10/E10-1</f>
        <v>0.10906701708278588</v>
      </c>
      <c r="G11" s="7">
        <f t="shared" ref="G11" si="26">G10/F10-1</f>
        <v>9.1232227488151629E-2</v>
      </c>
      <c r="H11" s="7">
        <f t="shared" ref="H11" si="27">H10/G10-1</f>
        <v>0.13137893593919658</v>
      </c>
      <c r="I11" s="7">
        <f t="shared" ref="I11" si="28">I10/H10-1</f>
        <v>5.8541266794625679E-2</v>
      </c>
      <c r="J11" s="7">
        <f t="shared" ref="J11" si="29">J10/I10-1</f>
        <v>1.1786038077969074E-2</v>
      </c>
      <c r="K11" s="7">
        <f t="shared" ref="K11" si="30">K10/J10-1</f>
        <v>-1.6129032258064502E-2</v>
      </c>
      <c r="L11" s="7">
        <f t="shared" ref="L11" si="31">L10/K10-1</f>
        <v>-2.1857923497267784E-2</v>
      </c>
      <c r="M11" s="8">
        <v>0</v>
      </c>
      <c r="N11" s="8">
        <v>0</v>
      </c>
      <c r="O11" s="8">
        <v>0</v>
      </c>
    </row>
    <row r="12" spans="1:15" s="1" customFormat="1" x14ac:dyDescent="0.35">
      <c r="A12" s="1" t="s">
        <v>25</v>
      </c>
      <c r="C12" s="3">
        <v>902</v>
      </c>
      <c r="D12" s="3">
        <v>947</v>
      </c>
      <c r="E12" s="3">
        <v>865</v>
      </c>
      <c r="F12" s="3">
        <v>918</v>
      </c>
      <c r="G12" s="3">
        <v>934</v>
      </c>
      <c r="H12" s="3">
        <v>900</v>
      </c>
      <c r="I12" s="3">
        <v>874</v>
      </c>
      <c r="J12" s="3">
        <v>973</v>
      </c>
      <c r="K12" s="3">
        <v>941</v>
      </c>
      <c r="L12" s="3">
        <v>980</v>
      </c>
      <c r="M12" s="3">
        <f>L12*(1+M13)</f>
        <v>980</v>
      </c>
      <c r="N12" s="3">
        <f t="shared" ref="N12" si="32">M12*(1+N13)</f>
        <v>980</v>
      </c>
      <c r="O12" s="3">
        <f t="shared" ref="O12" si="33">N12*(1+O13)</f>
        <v>980</v>
      </c>
    </row>
    <row r="13" spans="1:15" s="1" customFormat="1" x14ac:dyDescent="0.35">
      <c r="A13" s="1" t="s">
        <v>138</v>
      </c>
      <c r="C13" s="3"/>
      <c r="D13" s="7">
        <f>D12/C12-1</f>
        <v>4.9889135254988837E-2</v>
      </c>
      <c r="E13" s="7">
        <f t="shared" ref="E13" si="34">E12/D12-1</f>
        <v>-8.6589229144667379E-2</v>
      </c>
      <c r="F13" s="7">
        <f t="shared" ref="F13" si="35">F12/E12-1</f>
        <v>6.127167630057806E-2</v>
      </c>
      <c r="G13" s="7">
        <f t="shared" ref="G13" si="36">G12/F12-1</f>
        <v>1.7429193899782147E-2</v>
      </c>
      <c r="H13" s="7">
        <f t="shared" ref="H13" si="37">H12/G12-1</f>
        <v>-3.6402569593147804E-2</v>
      </c>
      <c r="I13" s="7">
        <f t="shared" ref="I13" si="38">I12/H12-1</f>
        <v>-2.8888888888888853E-2</v>
      </c>
      <c r="J13" s="7">
        <f t="shared" ref="J13" si="39">J12/I12-1</f>
        <v>0.11327231121281467</v>
      </c>
      <c r="K13" s="7">
        <f t="shared" ref="K13" si="40">K12/J12-1</f>
        <v>-3.2887975334018549E-2</v>
      </c>
      <c r="L13" s="7">
        <f t="shared" ref="L13" si="41">L12/K12-1</f>
        <v>4.1445270988310412E-2</v>
      </c>
      <c r="M13" s="8">
        <v>0</v>
      </c>
      <c r="N13" s="8">
        <v>0</v>
      </c>
      <c r="O13" s="8">
        <v>0</v>
      </c>
    </row>
    <row r="14" spans="1:15" s="1" customFormat="1" x14ac:dyDescent="0.35">
      <c r="A14" s="1" t="s">
        <v>26</v>
      </c>
      <c r="C14" s="3">
        <v>826</v>
      </c>
      <c r="D14" s="3">
        <v>667</v>
      </c>
      <c r="E14" s="3">
        <v>465</v>
      </c>
      <c r="F14" s="3">
        <v>611</v>
      </c>
      <c r="G14" s="3">
        <v>653</v>
      </c>
      <c r="H14" s="3">
        <v>738</v>
      </c>
      <c r="I14" s="3">
        <v>781</v>
      </c>
      <c r="J14" s="3">
        <v>809</v>
      </c>
      <c r="K14" s="3">
        <v>863</v>
      </c>
      <c r="L14" s="3">
        <v>863</v>
      </c>
      <c r="M14" s="3">
        <f>L14*(1+M15)</f>
        <v>863</v>
      </c>
      <c r="N14" s="3">
        <f t="shared" ref="N14" si="42">M14*(1+N15)</f>
        <v>863</v>
      </c>
      <c r="O14" s="3">
        <f t="shared" ref="O14" si="43">N14*(1+O15)</f>
        <v>863</v>
      </c>
    </row>
    <row r="15" spans="1:15" s="1" customFormat="1" x14ac:dyDescent="0.35">
      <c r="A15" s="1" t="s">
        <v>138</v>
      </c>
      <c r="C15" s="3"/>
      <c r="D15" s="7">
        <f>D14/C14-1</f>
        <v>-0.19249394673123488</v>
      </c>
      <c r="E15" s="7">
        <f t="shared" ref="E15" si="44">E14/D14-1</f>
        <v>-0.30284857571214396</v>
      </c>
      <c r="F15" s="7">
        <f t="shared" ref="F15" si="45">F14/E14-1</f>
        <v>0.3139784946236559</v>
      </c>
      <c r="G15" s="7">
        <f t="shared" ref="G15" si="46">G14/F14-1</f>
        <v>6.8739770867430439E-2</v>
      </c>
      <c r="H15" s="7">
        <f t="shared" ref="H15" si="47">H14/G14-1</f>
        <v>0.13016845329249627</v>
      </c>
      <c r="I15" s="7">
        <f t="shared" ref="I15" si="48">I14/H14-1</f>
        <v>5.8265582655826487E-2</v>
      </c>
      <c r="J15" s="7">
        <f t="shared" ref="J15" si="49">J14/I14-1</f>
        <v>3.5851472471190693E-2</v>
      </c>
      <c r="K15" s="7">
        <f t="shared" ref="K15" si="50">K14/J14-1</f>
        <v>6.6749072929542574E-2</v>
      </c>
      <c r="L15" s="7">
        <f t="shared" ref="L15" si="51">L14/K14-1</f>
        <v>0</v>
      </c>
      <c r="M15" s="8">
        <v>0</v>
      </c>
      <c r="N15" s="8">
        <v>0</v>
      </c>
      <c r="O15" s="8">
        <v>0</v>
      </c>
    </row>
    <row r="16" spans="1:15" s="13" customFormat="1" x14ac:dyDescent="0.35">
      <c r="A16" s="12" t="s">
        <v>139</v>
      </c>
      <c r="B16" s="12"/>
      <c r="C16" s="14">
        <f>SUM(C4,C6,C8,C10,C12,C14)</f>
        <v>9733</v>
      </c>
      <c r="D16" s="14">
        <f>SUM(D4,D6,D8,D10,D12,D14)</f>
        <v>9261</v>
      </c>
      <c r="E16" s="14">
        <f t="shared" ref="E16:O16" si="52">SUM(E4,E6,E8,E10,E12,E14)</f>
        <v>7786</v>
      </c>
      <c r="F16" s="14">
        <f t="shared" si="52"/>
        <v>8815</v>
      </c>
      <c r="G16" s="14">
        <f t="shared" si="52"/>
        <v>9072</v>
      </c>
      <c r="H16" s="14">
        <f t="shared" si="52"/>
        <v>9048</v>
      </c>
      <c r="I16" s="14">
        <f t="shared" si="52"/>
        <v>9022</v>
      </c>
      <c r="J16" s="14">
        <f t="shared" si="52"/>
        <v>9625</v>
      </c>
      <c r="K16" s="14">
        <f t="shared" si="52"/>
        <v>9062</v>
      </c>
      <c r="L16" s="14">
        <f t="shared" si="52"/>
        <v>8442</v>
      </c>
      <c r="M16" s="14">
        <f t="shared" si="52"/>
        <v>8442</v>
      </c>
      <c r="N16" s="14">
        <f t="shared" si="52"/>
        <v>8442</v>
      </c>
      <c r="O16" s="14">
        <f t="shared" si="52"/>
        <v>8442</v>
      </c>
    </row>
    <row r="17" spans="1:16" s="1" customFormat="1" x14ac:dyDescent="0.35">
      <c r="A17" s="1" t="s">
        <v>138</v>
      </c>
      <c r="C17" s="3"/>
      <c r="D17" s="7">
        <f>D16/C16-1</f>
        <v>-4.8494811466146093E-2</v>
      </c>
      <c r="E17" s="7">
        <f t="shared" ref="E17" si="53">E16/D16-1</f>
        <v>-0.15927005722924092</v>
      </c>
      <c r="F17" s="7">
        <f t="shared" ref="F17" si="54">F16/E16-1</f>
        <v>0.1321602876958643</v>
      </c>
      <c r="G17" s="7">
        <f t="shared" ref="G17" si="55">G16/F16-1</f>
        <v>2.9154849688031836E-2</v>
      </c>
      <c r="H17" s="7">
        <f t="shared" ref="H17" si="56">H16/G16-1</f>
        <v>-2.6455026455026731E-3</v>
      </c>
      <c r="I17" s="7">
        <f t="shared" ref="I17" si="57">I16/H16-1</f>
        <v>-2.8735632183908288E-3</v>
      </c>
      <c r="J17" s="7">
        <f t="shared" ref="J17" si="58">J16/I16-1</f>
        <v>6.6836621591664924E-2</v>
      </c>
      <c r="K17" s="7">
        <f t="shared" ref="K17" si="59">K16/J16-1</f>
        <v>-5.8493506493506486E-2</v>
      </c>
      <c r="L17" s="7">
        <f t="shared" ref="L17" si="60">L16/K16-1</f>
        <v>-6.8417567865813322E-2</v>
      </c>
      <c r="M17" s="7">
        <f t="shared" ref="M17" si="61">M16/L16-1</f>
        <v>0</v>
      </c>
      <c r="N17" s="7">
        <f t="shared" ref="N17" si="62">N16/M16-1</f>
        <v>0</v>
      </c>
      <c r="O17" s="7">
        <f t="shared" ref="O17" si="63">O16/N16-1</f>
        <v>0</v>
      </c>
    </row>
    <row r="18" spans="1:16" x14ac:dyDescent="0.35">
      <c r="M18" s="1"/>
      <c r="N18" s="1"/>
      <c r="O18" s="1"/>
    </row>
    <row r="19" spans="1:16" s="13" customFormat="1" x14ac:dyDescent="0.35">
      <c r="A19" s="12" t="s">
        <v>140</v>
      </c>
      <c r="B19" s="12"/>
      <c r="C19" s="15">
        <f>C22/C16*1000</f>
        <v>1594.1641837049215</v>
      </c>
      <c r="D19" s="15">
        <f t="shared" ref="D19:L19" si="64">D22/D16*1000</f>
        <v>1848.3965014577259</v>
      </c>
      <c r="E19" s="15">
        <f t="shared" si="64"/>
        <v>1717.569997431287</v>
      </c>
      <c r="F19" s="15">
        <f t="shared" si="64"/>
        <v>1822.9154849688032</v>
      </c>
      <c r="G19" s="15">
        <f t="shared" si="64"/>
        <v>2040.1234567901233</v>
      </c>
      <c r="H19" s="15">
        <f t="shared" si="64"/>
        <v>2175.7294429708222</v>
      </c>
      <c r="I19" s="15">
        <f t="shared" si="64"/>
        <v>2292.6180447794281</v>
      </c>
      <c r="J19" s="15">
        <f t="shared" si="64"/>
        <v>2343.8961038961038</v>
      </c>
      <c r="K19" s="15">
        <f t="shared" si="64"/>
        <v>2250.8276318693447</v>
      </c>
      <c r="L19" s="15">
        <f t="shared" si="64"/>
        <v>2203.3878227908076</v>
      </c>
      <c r="M19" s="15">
        <f>L19*(1+M20)</f>
        <v>2203.3878227908076</v>
      </c>
      <c r="N19" s="15">
        <f t="shared" ref="N19:O19" si="65">M19*(1+N20)</f>
        <v>2203.3878227908076</v>
      </c>
      <c r="O19" s="15">
        <f t="shared" si="65"/>
        <v>2203.3878227908076</v>
      </c>
    </row>
    <row r="20" spans="1:16" s="1" customFormat="1" x14ac:dyDescent="0.35">
      <c r="A20" s="1" t="s">
        <v>138</v>
      </c>
      <c r="C20" s="3"/>
      <c r="D20" s="7">
        <f>D19/C19-1</f>
        <v>0.1594768721763371</v>
      </c>
      <c r="E20" s="7">
        <f t="shared" ref="E20" si="66">E19/D19-1</f>
        <v>-7.077837678401977E-2</v>
      </c>
      <c r="F20" s="7">
        <f t="shared" ref="F20" si="67">F19/E19-1</f>
        <v>6.1334028712114019E-2</v>
      </c>
      <c r="G20" s="7">
        <f t="shared" ref="G20" si="68">G19/F19-1</f>
        <v>0.11915416464029738</v>
      </c>
      <c r="H20" s="7">
        <f t="shared" ref="H20" si="69">H19/G19-1</f>
        <v>6.6469500034109563E-2</v>
      </c>
      <c r="I20" s="7">
        <f t="shared" ref="I20" si="70">I19/H19-1</f>
        <v>5.3723868188777057E-2</v>
      </c>
      <c r="J20" s="7">
        <f t="shared" ref="J20" si="71">J19/I19-1</f>
        <v>2.236659492122639E-2</v>
      </c>
      <c r="K20" s="7">
        <f t="shared" ref="K20" si="72">K19/J19-1</f>
        <v>-3.9706739506097377E-2</v>
      </c>
      <c r="L20" s="7">
        <f t="shared" ref="L20" si="73">L19/K19-1</f>
        <v>-2.1076606847561075E-2</v>
      </c>
      <c r="M20" s="8">
        <v>0</v>
      </c>
      <c r="N20" s="8">
        <v>0</v>
      </c>
      <c r="O20" s="8">
        <v>0</v>
      </c>
    </row>
    <row r="22" spans="1:16" s="9" customFormat="1" x14ac:dyDescent="0.35">
      <c r="A22" s="9" t="s">
        <v>17</v>
      </c>
      <c r="C22" s="9">
        <v>15516</v>
      </c>
      <c r="D22" s="9">
        <v>17118</v>
      </c>
      <c r="E22" s="9">
        <v>13373</v>
      </c>
      <c r="F22" s="9">
        <v>16069</v>
      </c>
      <c r="G22" s="9">
        <v>18508</v>
      </c>
      <c r="H22" s="9">
        <v>19686</v>
      </c>
      <c r="I22" s="9">
        <v>20684</v>
      </c>
      <c r="J22" s="9">
        <v>22560</v>
      </c>
      <c r="K22" s="9">
        <v>20397</v>
      </c>
      <c r="L22" s="9">
        <v>18601</v>
      </c>
      <c r="M22" s="9">
        <f>M16*M19/1000</f>
        <v>18600.999999999996</v>
      </c>
      <c r="N22" s="9">
        <f t="shared" ref="N22:O22" si="74">N16*N19/1000</f>
        <v>18600.999999999996</v>
      </c>
      <c r="O22" s="9">
        <f t="shared" si="74"/>
        <v>18600.999999999996</v>
      </c>
    </row>
    <row r="23" spans="1:16" s="1" customFormat="1" x14ac:dyDescent="0.35">
      <c r="A23" s="1" t="s">
        <v>138</v>
      </c>
      <c r="C23" s="3"/>
      <c r="D23" s="7">
        <f>D22/C22-1</f>
        <v>0.10324825986078889</v>
      </c>
      <c r="E23" s="7">
        <f t="shared" ref="E23" si="75">E22/D22-1</f>
        <v>-0.21877555789227709</v>
      </c>
      <c r="F23" s="7">
        <f t="shared" ref="F23" si="76">F22/E22-1</f>
        <v>0.20160023928811777</v>
      </c>
      <c r="G23" s="7">
        <f t="shared" ref="G23" si="77">G22/F22-1</f>
        <v>0.15178293608811999</v>
      </c>
      <c r="H23" s="7">
        <f t="shared" ref="H23" si="78">H22/G22-1</f>
        <v>6.3648152150421522E-2</v>
      </c>
      <c r="I23" s="7">
        <f t="shared" ref="I23" si="79">I22/H22-1</f>
        <v>5.0695926038809347E-2</v>
      </c>
      <c r="J23" s="7">
        <f t="shared" ref="J23" si="80">J22/I22-1</f>
        <v>9.06981241539353E-2</v>
      </c>
      <c r="K23" s="7">
        <f t="shared" ref="K23" si="81">K22/J22-1</f>
        <v>-9.5877659574468033E-2</v>
      </c>
      <c r="L23" s="7">
        <f t="shared" ref="L23" si="82">L22/K22-1</f>
        <v>-8.805216453400011E-2</v>
      </c>
      <c r="M23" s="7">
        <f t="shared" ref="M23" si="83">M22/L22-1</f>
        <v>0</v>
      </c>
      <c r="N23" s="7">
        <f t="shared" ref="N23" si="84">N22/M22-1</f>
        <v>0</v>
      </c>
      <c r="O23" s="7">
        <f t="shared" ref="O23" si="85">O22/N22-1</f>
        <v>0</v>
      </c>
    </row>
    <row r="24" spans="1:16" s="9" customFormat="1" x14ac:dyDescent="0.35">
      <c r="A24" s="9" t="s">
        <v>18</v>
      </c>
      <c r="C24" s="9">
        <v>767</v>
      </c>
      <c r="D24" s="9">
        <v>852</v>
      </c>
      <c r="E24" s="9">
        <v>770</v>
      </c>
      <c r="F24" s="9">
        <v>896</v>
      </c>
      <c r="G24" s="9">
        <v>1049</v>
      </c>
      <c r="H24" s="9">
        <v>1240</v>
      </c>
      <c r="I24" s="9">
        <v>1279</v>
      </c>
      <c r="J24" s="9">
        <v>1428</v>
      </c>
      <c r="K24" s="9">
        <v>1416</v>
      </c>
      <c r="L24" s="9">
        <v>1340</v>
      </c>
      <c r="M24" s="9">
        <f>L24*(1+M25)</f>
        <v>1340</v>
      </c>
      <c r="N24" s="9">
        <f t="shared" ref="N24" si="86">M24*(1+N25)</f>
        <v>1340</v>
      </c>
      <c r="O24" s="9">
        <f t="shared" ref="O24" si="87">N24*(1+O25)</f>
        <v>1340</v>
      </c>
    </row>
    <row r="25" spans="1:16" s="1" customFormat="1" x14ac:dyDescent="0.35">
      <c r="A25" s="1" t="s">
        <v>138</v>
      </c>
      <c r="C25" s="3"/>
      <c r="D25" s="7">
        <f>D24/C24-1</f>
        <v>0.11082138200782277</v>
      </c>
      <c r="E25" s="7">
        <f t="shared" ref="E25" si="88">E24/D24-1</f>
        <v>-9.6244131455399007E-2</v>
      </c>
      <c r="F25" s="7">
        <f t="shared" ref="F25" si="89">F24/E24-1</f>
        <v>0.16363636363636358</v>
      </c>
      <c r="G25" s="7">
        <f t="shared" ref="G25" si="90">G24/F24-1</f>
        <v>0.1707589285714286</v>
      </c>
      <c r="H25" s="7">
        <f t="shared" ref="H25" si="91">H24/G24-1</f>
        <v>0.18207816968541457</v>
      </c>
      <c r="I25" s="7">
        <f t="shared" ref="I25" si="92">I24/H24-1</f>
        <v>3.1451612903225845E-2</v>
      </c>
      <c r="J25" s="7">
        <f t="shared" ref="J25" si="93">J24/I24-1</f>
        <v>0.11649726348709932</v>
      </c>
      <c r="K25" s="7">
        <f t="shared" ref="K25" si="94">K24/J24-1</f>
        <v>-8.4033613445377853E-3</v>
      </c>
      <c r="L25" s="7">
        <f t="shared" ref="L25" si="95">L24/K24-1</f>
        <v>-5.3672316384180796E-2</v>
      </c>
      <c r="M25" s="8">
        <v>0</v>
      </c>
      <c r="N25" s="8">
        <v>0</v>
      </c>
      <c r="O25" s="8">
        <v>0</v>
      </c>
    </row>
    <row r="26" spans="1:16" s="13" customFormat="1" x14ac:dyDescent="0.35">
      <c r="A26" s="12" t="s">
        <v>141</v>
      </c>
      <c r="B26" s="12"/>
      <c r="C26" s="15">
        <f>SUM(C22,C24)</f>
        <v>16283</v>
      </c>
      <c r="D26" s="15">
        <f t="shared" ref="D26:O26" si="96">SUM(D22,D24)</f>
        <v>17970</v>
      </c>
      <c r="E26" s="15">
        <f t="shared" si="96"/>
        <v>14143</v>
      </c>
      <c r="F26" s="15">
        <f t="shared" si="96"/>
        <v>16965</v>
      </c>
      <c r="G26" s="15">
        <f t="shared" si="96"/>
        <v>19557</v>
      </c>
      <c r="H26" s="15">
        <f t="shared" si="96"/>
        <v>20926</v>
      </c>
      <c r="I26" s="15">
        <f t="shared" si="96"/>
        <v>21963</v>
      </c>
      <c r="J26" s="15">
        <f t="shared" si="96"/>
        <v>23988</v>
      </c>
      <c r="K26" s="15">
        <f t="shared" si="96"/>
        <v>21813</v>
      </c>
      <c r="L26" s="15">
        <f t="shared" si="96"/>
        <v>19941</v>
      </c>
      <c r="M26" s="15">
        <f t="shared" si="96"/>
        <v>19940.999999999996</v>
      </c>
      <c r="N26" s="15">
        <f t="shared" si="96"/>
        <v>19940.999999999996</v>
      </c>
      <c r="O26" s="15">
        <f t="shared" si="96"/>
        <v>19940.999999999996</v>
      </c>
    </row>
    <row r="27" spans="1:16" s="1" customFormat="1" x14ac:dyDescent="0.35">
      <c r="A27" s="1" t="s">
        <v>138</v>
      </c>
      <c r="C27" s="3"/>
      <c r="D27" s="7">
        <f>D26/C26-1</f>
        <v>0.10360498679604491</v>
      </c>
      <c r="E27" s="7">
        <f t="shared" ref="E27" si="97">E26/D26-1</f>
        <v>-0.21296605453533668</v>
      </c>
      <c r="F27" s="7">
        <f t="shared" ref="F27" si="98">F26/E26-1</f>
        <v>0.1995333380470905</v>
      </c>
      <c r="G27" s="7">
        <f t="shared" ref="G27" si="99">G26/F26-1</f>
        <v>0.15278514588859426</v>
      </c>
      <c r="H27" s="7">
        <f t="shared" ref="H27" si="100">H26/G26-1</f>
        <v>7.0000511325867931E-2</v>
      </c>
      <c r="I27" s="7">
        <f t="shared" ref="I27" si="101">I26/H26-1</f>
        <v>4.9555576794418466E-2</v>
      </c>
      <c r="J27" s="7">
        <f t="shared" ref="J27" si="102">J26/I26-1</f>
        <v>9.2200519054773888E-2</v>
      </c>
      <c r="K27" s="7">
        <f t="shared" ref="K27" si="103">K26/J26-1</f>
        <v>-9.0670335167583826E-2</v>
      </c>
      <c r="L27" s="7">
        <f t="shared" ref="L27" si="104">L26/K26-1</f>
        <v>-8.5820382340805912E-2</v>
      </c>
      <c r="M27" s="7">
        <f t="shared" ref="M27" si="105">M26/L26-1</f>
        <v>0</v>
      </c>
      <c r="N27" s="7">
        <f t="shared" ref="N27" si="106">N26/M26-1</f>
        <v>0</v>
      </c>
      <c r="O27" s="7">
        <f t="shared" ref="O27" si="107">O26/N26-1</f>
        <v>0</v>
      </c>
    </row>
    <row r="29" spans="1:16" s="9" customFormat="1" x14ac:dyDescent="0.35">
      <c r="A29" s="9" t="s">
        <v>54</v>
      </c>
      <c r="C29" s="9">
        <v>12908</v>
      </c>
      <c r="D29" s="9">
        <v>13895</v>
      </c>
      <c r="E29" s="9">
        <v>10764</v>
      </c>
      <c r="F29" s="9">
        <v>11939</v>
      </c>
      <c r="G29" s="9">
        <v>13833</v>
      </c>
      <c r="H29" s="9">
        <v>14181</v>
      </c>
      <c r="I29" s="9">
        <v>14517</v>
      </c>
      <c r="J29" s="9">
        <v>15235</v>
      </c>
      <c r="K29" s="9">
        <v>13761</v>
      </c>
      <c r="L29" s="9">
        <v>12669</v>
      </c>
      <c r="M29" s="9">
        <f>M26*(1-M32)</f>
        <v>12668.999999999998</v>
      </c>
      <c r="N29" s="9">
        <f t="shared" ref="N29:O29" si="108">N26*(1-N32)</f>
        <v>12668.999999999998</v>
      </c>
      <c r="O29" s="9">
        <f t="shared" si="108"/>
        <v>12668.999999999998</v>
      </c>
    </row>
    <row r="30" spans="1:16" s="1" customFormat="1" x14ac:dyDescent="0.35">
      <c r="A30" s="1" t="s">
        <v>138</v>
      </c>
      <c r="C30" s="3"/>
      <c r="D30" s="7">
        <f>D29/C29-1</f>
        <v>7.6464208242950082E-2</v>
      </c>
      <c r="E30" s="7">
        <f t="shared" ref="E30" si="109">E29/D29-1</f>
        <v>-0.22533285354444044</v>
      </c>
      <c r="F30" s="7">
        <f t="shared" ref="F30" si="110">F29/E29-1</f>
        <v>0.10916016350798952</v>
      </c>
      <c r="G30" s="7">
        <f t="shared" ref="G30" si="111">G29/F29-1</f>
        <v>0.15863975207303804</v>
      </c>
      <c r="H30" s="7">
        <f t="shared" ref="H30" si="112">H29/G29-1</f>
        <v>2.515723270440251E-2</v>
      </c>
      <c r="I30" s="7">
        <f t="shared" ref="I30" si="113">I29/H29-1</f>
        <v>2.3693674635075102E-2</v>
      </c>
      <c r="J30" s="7">
        <f t="shared" ref="J30" si="114">J29/I29-1</f>
        <v>4.9459254666942121E-2</v>
      </c>
      <c r="K30" s="7">
        <f t="shared" ref="K30" si="115">K29/J29-1</f>
        <v>-9.6750902527075855E-2</v>
      </c>
      <c r="L30" s="7">
        <f t="shared" ref="L30" si="116">L29/K29-1</f>
        <v>-7.9354698059734052E-2</v>
      </c>
      <c r="M30" s="7">
        <f t="shared" ref="M30" si="117">M29/L29-1</f>
        <v>0</v>
      </c>
      <c r="N30" s="7">
        <f t="shared" ref="N30" si="118">N29/M29-1</f>
        <v>0</v>
      </c>
      <c r="O30" s="7">
        <f t="shared" ref="O30" si="119">O29/N29-1</f>
        <v>0</v>
      </c>
    </row>
    <row r="32" spans="1:16" x14ac:dyDescent="0.35">
      <c r="A32" s="1" t="s">
        <v>142</v>
      </c>
      <c r="C32" s="16">
        <f>((C26-C29)/C26)</f>
        <v>0.2072713873364859</v>
      </c>
      <c r="D32" s="16">
        <f t="shared" ref="D32:L32" si="120">((D26-D29)/D26)</f>
        <v>0.22676683361157485</v>
      </c>
      <c r="E32" s="16">
        <f t="shared" si="120"/>
        <v>0.2389167786183978</v>
      </c>
      <c r="F32" s="16">
        <f t="shared" si="120"/>
        <v>0.29625699970527558</v>
      </c>
      <c r="G32" s="16">
        <f t="shared" si="120"/>
        <v>0.29268292682926828</v>
      </c>
      <c r="H32" s="16">
        <f t="shared" si="120"/>
        <v>0.3223262926502915</v>
      </c>
      <c r="I32" s="16">
        <f t="shared" si="120"/>
        <v>0.33902472339844286</v>
      </c>
      <c r="J32" s="16">
        <f t="shared" si="120"/>
        <v>0.36489077872269465</v>
      </c>
      <c r="K32" s="16">
        <f t="shared" si="120"/>
        <v>0.36913767019667171</v>
      </c>
      <c r="L32" s="16">
        <f t="shared" si="120"/>
        <v>0.3646757935910937</v>
      </c>
      <c r="M32" s="16">
        <f>L32+(M33/100)</f>
        <v>0.3646757935910937</v>
      </c>
      <c r="N32" s="16">
        <f t="shared" ref="N32:O32" si="121">M32+(N33/100)</f>
        <v>0.3646757935910937</v>
      </c>
      <c r="O32" s="16">
        <f t="shared" si="121"/>
        <v>0.3646757935910937</v>
      </c>
      <c r="P32" s="1"/>
    </row>
    <row r="33" spans="1:15" x14ac:dyDescent="0.35">
      <c r="A33" s="1" t="s">
        <v>143</v>
      </c>
      <c r="D33" s="17">
        <f>(D32-C32)*100</f>
        <v>1.949544627508895</v>
      </c>
      <c r="E33" s="17">
        <f t="shared" ref="E33:L33" si="122">(E32-D32)*100</f>
        <v>1.2149945006822955</v>
      </c>
      <c r="F33" s="17">
        <f t="shared" si="122"/>
        <v>5.7340221086877783</v>
      </c>
      <c r="G33" s="17">
        <f t="shared" si="122"/>
        <v>-0.35740728760073059</v>
      </c>
      <c r="H33" s="17">
        <f t="shared" si="122"/>
        <v>2.9643365821023226</v>
      </c>
      <c r="I33" s="17">
        <f t="shared" si="122"/>
        <v>1.6698430748151361</v>
      </c>
      <c r="J33" s="17">
        <f t="shared" si="122"/>
        <v>2.5866055324251791</v>
      </c>
      <c r="K33" s="17">
        <f t="shared" si="122"/>
        <v>0.42468914739770547</v>
      </c>
      <c r="L33" s="17">
        <f t="shared" si="122"/>
        <v>-0.44618766055780079</v>
      </c>
      <c r="M33" s="10">
        <v>0</v>
      </c>
      <c r="N33" s="10">
        <v>0</v>
      </c>
      <c r="O33" s="10">
        <v>0</v>
      </c>
    </row>
    <row r="35" spans="1:15" s="13" customFormat="1" ht="14.25" x14ac:dyDescent="0.35">
      <c r="A35" s="12" t="s">
        <v>144</v>
      </c>
      <c r="B35" s="12"/>
      <c r="C35" s="15">
        <f>C26*C32</f>
        <v>3375</v>
      </c>
      <c r="D35" s="15">
        <f t="shared" ref="D35:O35" si="123">D26*D32</f>
        <v>4075</v>
      </c>
      <c r="E35" s="15">
        <f t="shared" si="123"/>
        <v>3379</v>
      </c>
      <c r="F35" s="15">
        <f t="shared" si="123"/>
        <v>5026</v>
      </c>
      <c r="G35" s="15">
        <f t="shared" si="123"/>
        <v>5724</v>
      </c>
      <c r="H35" s="15">
        <f t="shared" si="123"/>
        <v>6745</v>
      </c>
      <c r="I35" s="15">
        <f t="shared" si="123"/>
        <v>7446.0000000000009</v>
      </c>
      <c r="J35" s="15">
        <f t="shared" si="123"/>
        <v>8753</v>
      </c>
      <c r="K35" s="15">
        <f t="shared" si="123"/>
        <v>8052</v>
      </c>
      <c r="L35" s="15">
        <f t="shared" si="123"/>
        <v>7271.9999999999991</v>
      </c>
      <c r="M35" s="15">
        <f t="shared" si="123"/>
        <v>7271.9999999999982</v>
      </c>
      <c r="N35" s="15">
        <f t="shared" si="123"/>
        <v>7271.9999999999982</v>
      </c>
      <c r="O35" s="15">
        <f t="shared" si="123"/>
        <v>7271.9999999999982</v>
      </c>
    </row>
    <row r="36" spans="1:15" s="1" customFormat="1" x14ac:dyDescent="0.35">
      <c r="A36" s="1" t="s">
        <v>138</v>
      </c>
      <c r="C36" s="3"/>
      <c r="D36" s="7">
        <f>D35/C35-1</f>
        <v>0.20740740740740748</v>
      </c>
      <c r="E36" s="7">
        <f t="shared" ref="E36" si="124">E35/D35-1</f>
        <v>-0.17079754601226993</v>
      </c>
      <c r="F36" s="7">
        <f t="shared" ref="F36" si="125">F35/E35-1</f>
        <v>0.48742231429416982</v>
      </c>
      <c r="G36" s="7">
        <f t="shared" ref="G36" si="126">G35/F35-1</f>
        <v>0.13887783525666531</v>
      </c>
      <c r="H36" s="7">
        <f t="shared" ref="H36" si="127">H35/G35-1</f>
        <v>0.17837176799440946</v>
      </c>
      <c r="I36" s="7">
        <f t="shared" ref="I36" si="128">I35/H35-1</f>
        <v>0.10392883617494464</v>
      </c>
      <c r="J36" s="7">
        <f t="shared" ref="J36" si="129">J35/I35-1</f>
        <v>0.17553048616706945</v>
      </c>
      <c r="K36" s="7">
        <f t="shared" ref="K36" si="130">K35/J35-1</f>
        <v>-8.0086827373471947E-2</v>
      </c>
      <c r="L36" s="7">
        <f t="shared" ref="L36" si="131">L35/K35-1</f>
        <v>-9.6870342771982254E-2</v>
      </c>
      <c r="M36" s="7">
        <f t="shared" ref="M36" si="132">M35/L35-1</f>
        <v>0</v>
      </c>
      <c r="N36" s="7">
        <f t="shared" ref="N36" si="133">N35/M35-1</f>
        <v>0</v>
      </c>
      <c r="O36" s="7">
        <f t="shared" ref="O36" si="134">O35/N35-1</f>
        <v>0</v>
      </c>
    </row>
    <row r="37" spans="1:15" ht="14.2" x14ac:dyDescent="0.35">
      <c r="A37" s="1" t="s">
        <v>188</v>
      </c>
      <c r="C37" s="9">
        <v>482</v>
      </c>
      <c r="D37" s="9">
        <v>511</v>
      </c>
      <c r="E37" s="9">
        <v>600</v>
      </c>
      <c r="F37" s="9">
        <v>602</v>
      </c>
      <c r="G37" s="9">
        <v>572</v>
      </c>
      <c r="H37" s="9">
        <v>535</v>
      </c>
      <c r="I37" s="9">
        <v>526</v>
      </c>
      <c r="J37" s="9">
        <v>561</v>
      </c>
      <c r="K37" s="9">
        <v>622</v>
      </c>
      <c r="L37" s="9">
        <v>698</v>
      </c>
      <c r="M37" s="9">
        <f>((M38+L38)/2)*M40</f>
        <v>717.2614352232265</v>
      </c>
      <c r="N37" s="9">
        <f t="shared" ref="N37:O37" si="135">((N38+M38)/2)*N40</f>
        <v>717.2614352232265</v>
      </c>
      <c r="O37" s="9">
        <f t="shared" si="135"/>
        <v>717.2614352232265</v>
      </c>
    </row>
    <row r="38" spans="1:15" s="40" customFormat="1" ht="14.2" x14ac:dyDescent="0.35">
      <c r="A38" s="38" t="s">
        <v>166</v>
      </c>
      <c r="B38" s="38"/>
      <c r="C38" s="39">
        <v>7682</v>
      </c>
      <c r="D38" s="39">
        <v>8927</v>
      </c>
      <c r="E38" s="39">
        <v>9848</v>
      </c>
      <c r="F38" s="39">
        <v>9242</v>
      </c>
      <c r="G38" s="39">
        <v>8906</v>
      </c>
      <c r="H38" s="39">
        <v>8997</v>
      </c>
      <c r="I38" s="39">
        <v>9577</v>
      </c>
      <c r="J38" s="39">
        <v>11413</v>
      </c>
      <c r="K38" s="39">
        <v>14201</v>
      </c>
      <c r="L38" s="39">
        <v>15007</v>
      </c>
      <c r="M38" s="39">
        <f>L38*(1+M39)</f>
        <v>15007</v>
      </c>
      <c r="N38" s="39">
        <f t="shared" ref="N38:O38" si="136">M38*(1+N39)</f>
        <v>15007</v>
      </c>
      <c r="O38" s="39">
        <f t="shared" si="136"/>
        <v>15007</v>
      </c>
    </row>
    <row r="39" spans="1:15" s="1" customFormat="1" ht="14.2" x14ac:dyDescent="0.35">
      <c r="A39" s="1" t="s">
        <v>138</v>
      </c>
      <c r="C39" s="3"/>
      <c r="D39" s="7">
        <f>D38/C38-1</f>
        <v>0.16206717000781046</v>
      </c>
      <c r="E39" s="7">
        <f t="shared" ref="E39" si="137">E38/D38-1</f>
        <v>0.10317015794779882</v>
      </c>
      <c r="F39" s="7">
        <f t="shared" ref="F39" si="138">F38/E38-1</f>
        <v>-6.1535337124289158E-2</v>
      </c>
      <c r="G39" s="7">
        <f t="shared" ref="G39" si="139">G38/F38-1</f>
        <v>-3.6355767149967577E-2</v>
      </c>
      <c r="H39" s="7">
        <f t="shared" ref="H39" si="140">H38/G38-1</f>
        <v>1.0217830675948836E-2</v>
      </c>
      <c r="I39" s="7">
        <f t="shared" ref="I39" si="141">I38/H38-1</f>
        <v>6.4465933088807326E-2</v>
      </c>
      <c r="J39" s="7">
        <f t="shared" ref="J39" si="142">J38/I38-1</f>
        <v>0.19170930353973059</v>
      </c>
      <c r="K39" s="7">
        <f t="shared" ref="K39" si="143">K38/J38-1</f>
        <v>0.24428283536318229</v>
      </c>
      <c r="L39" s="7">
        <f t="shared" ref="L39" si="144">L38/K38-1</f>
        <v>5.675656643898308E-2</v>
      </c>
      <c r="M39" s="8">
        <v>0</v>
      </c>
      <c r="N39" s="8">
        <v>0</v>
      </c>
      <c r="O39" s="8">
        <v>0</v>
      </c>
    </row>
    <row r="40" spans="1:15" ht="14.2" x14ac:dyDescent="0.35">
      <c r="A40" s="1" t="s">
        <v>189</v>
      </c>
      <c r="D40" s="16">
        <f t="shared" ref="D40:L40" si="145">D37/((D38+C38)/2)</f>
        <v>6.15329038473117E-2</v>
      </c>
      <c r="E40" s="16">
        <f t="shared" si="145"/>
        <v>6.3914780292942744E-2</v>
      </c>
      <c r="F40" s="16">
        <f t="shared" si="145"/>
        <v>6.3069669984284968E-2</v>
      </c>
      <c r="G40" s="16">
        <f t="shared" si="145"/>
        <v>6.3037249283667621E-2</v>
      </c>
      <c r="H40" s="16">
        <f t="shared" si="145"/>
        <v>5.9766519577724407E-2</v>
      </c>
      <c r="I40" s="16">
        <f t="shared" si="145"/>
        <v>5.66383116183913E-2</v>
      </c>
      <c r="J40" s="16">
        <f t="shared" si="145"/>
        <v>5.3454025726536444E-2</v>
      </c>
      <c r="K40" s="16">
        <f t="shared" si="145"/>
        <v>4.8567189818068242E-2</v>
      </c>
      <c r="L40" s="16">
        <f t="shared" si="145"/>
        <v>4.7795124623390854E-2</v>
      </c>
      <c r="M40" s="35">
        <f>L40</f>
        <v>4.7795124623390854E-2</v>
      </c>
      <c r="N40" s="35">
        <f t="shared" ref="N40:O40" si="146">M40</f>
        <v>4.7795124623390854E-2</v>
      </c>
      <c r="O40" s="35">
        <f t="shared" si="146"/>
        <v>4.7795124623390854E-2</v>
      </c>
    </row>
    <row r="42" spans="1:15" x14ac:dyDescent="0.35">
      <c r="A42" s="1" t="s">
        <v>190</v>
      </c>
      <c r="C42" s="9">
        <f>C45-C35+C37</f>
        <v>116</v>
      </c>
      <c r="D42" s="9">
        <f t="shared" ref="D42:L42" si="147">D45-D35+D37</f>
        <v>92</v>
      </c>
      <c r="E42" s="9">
        <f t="shared" si="147"/>
        <v>33</v>
      </c>
      <c r="F42" s="9">
        <f t="shared" si="147"/>
        <v>50</v>
      </c>
      <c r="G42" s="9">
        <f t="shared" si="147"/>
        <v>74</v>
      </c>
      <c r="H42" s="9">
        <f t="shared" si="147"/>
        <v>85</v>
      </c>
      <c r="I42" s="9">
        <f t="shared" si="147"/>
        <v>96.999999999999091</v>
      </c>
      <c r="J42" s="9">
        <f t="shared" si="147"/>
        <v>68</v>
      </c>
      <c r="K42" s="9">
        <f t="shared" si="147"/>
        <v>82</v>
      </c>
      <c r="L42" s="9">
        <f t="shared" si="147"/>
        <v>192.00000000000091</v>
      </c>
      <c r="M42" s="9">
        <f>L42*(1+M43)</f>
        <v>192.00000000000091</v>
      </c>
      <c r="N42" s="9">
        <f t="shared" ref="N42:O42" si="148">M42*(1+N43)</f>
        <v>192.00000000000091</v>
      </c>
      <c r="O42" s="9">
        <f t="shared" si="148"/>
        <v>192.00000000000091</v>
      </c>
    </row>
    <row r="43" spans="1:15" s="1" customFormat="1" x14ac:dyDescent="0.35">
      <c r="A43" s="1" t="s">
        <v>138</v>
      </c>
      <c r="C43" s="3"/>
      <c r="D43" s="7">
        <f>D42/C42-1</f>
        <v>-0.2068965517241379</v>
      </c>
      <c r="E43" s="7">
        <f t="shared" ref="E43" si="149">E42/D42-1</f>
        <v>-0.64130434782608692</v>
      </c>
      <c r="F43" s="7">
        <f t="shared" ref="F43" si="150">F42/E42-1</f>
        <v>0.51515151515151514</v>
      </c>
      <c r="G43" s="7">
        <f t="shared" ref="G43" si="151">G42/F42-1</f>
        <v>0.48</v>
      </c>
      <c r="H43" s="7">
        <f t="shared" ref="H43" si="152">H42/G42-1</f>
        <v>0.14864864864864868</v>
      </c>
      <c r="I43" s="7">
        <f t="shared" ref="I43" si="153">I42/H42-1</f>
        <v>0.14117647058822458</v>
      </c>
      <c r="J43" s="7">
        <f t="shared" ref="J43" si="154">J42/I42-1</f>
        <v>-0.29896907216494184</v>
      </c>
      <c r="K43" s="7">
        <f t="shared" ref="K43" si="155">K42/J42-1</f>
        <v>0.20588235294117641</v>
      </c>
      <c r="L43" s="7">
        <f t="shared" ref="L43" si="156">L42/K42-1</f>
        <v>1.3414634146341573</v>
      </c>
      <c r="M43" s="8">
        <v>0</v>
      </c>
      <c r="N43" s="8">
        <v>0</v>
      </c>
      <c r="O43" s="8">
        <v>0</v>
      </c>
    </row>
    <row r="45" spans="1:15" x14ac:dyDescent="0.35">
      <c r="A45" s="1" t="s">
        <v>78</v>
      </c>
      <c r="C45" s="9">
        <v>3009</v>
      </c>
      <c r="D45" s="9">
        <v>3656</v>
      </c>
      <c r="E45" s="9">
        <v>2812</v>
      </c>
      <c r="F45" s="9">
        <v>4474</v>
      </c>
      <c r="G45" s="9">
        <v>5226</v>
      </c>
      <c r="H45" s="9">
        <v>6295</v>
      </c>
      <c r="I45" s="9">
        <v>7017</v>
      </c>
      <c r="J45" s="9">
        <v>8260</v>
      </c>
      <c r="K45" s="9">
        <v>7512</v>
      </c>
      <c r="L45" s="9">
        <v>6766</v>
      </c>
      <c r="M45" s="9">
        <f>M35-M37+M42</f>
        <v>6746.7385647767724</v>
      </c>
      <c r="N45" s="9">
        <f t="shared" ref="N45:O45" si="157">N35-N37+N42</f>
        <v>6746.7385647767724</v>
      </c>
      <c r="O45" s="9">
        <f t="shared" si="157"/>
        <v>6746.7385647767724</v>
      </c>
    </row>
    <row r="47" spans="1:15" x14ac:dyDescent="0.35">
      <c r="A47" s="1" t="s">
        <v>192</v>
      </c>
      <c r="C47" s="16">
        <f>C48/C45</f>
        <v>0.38351611831173149</v>
      </c>
      <c r="D47" s="16">
        <f t="shared" ref="D47:L47" si="158">D48/D45</f>
        <v>0.36050328227571116</v>
      </c>
      <c r="E47" s="16">
        <f t="shared" si="158"/>
        <v>0.36532716927453768</v>
      </c>
      <c r="F47" s="16">
        <f t="shared" si="158"/>
        <v>0.37267545820295034</v>
      </c>
      <c r="G47" s="16">
        <f t="shared" si="158"/>
        <v>0.3747990815154994</v>
      </c>
      <c r="H47" s="16">
        <f t="shared" si="158"/>
        <v>0.37600476568705321</v>
      </c>
      <c r="I47" s="16">
        <f t="shared" si="158"/>
        <v>0.37753313381787085</v>
      </c>
      <c r="J47" s="16">
        <f t="shared" si="158"/>
        <v>0.37941283292978206</v>
      </c>
      <c r="K47" s="16">
        <f t="shared" si="158"/>
        <v>0.37720979765708207</v>
      </c>
      <c r="L47" s="16">
        <f t="shared" si="158"/>
        <v>0.37437185929648242</v>
      </c>
      <c r="M47" s="35">
        <f>L47</f>
        <v>0.37437185929648242</v>
      </c>
      <c r="N47" s="35">
        <f t="shared" ref="N47:O47" si="159">M47</f>
        <v>0.37437185929648242</v>
      </c>
      <c r="O47" s="35">
        <f t="shared" si="159"/>
        <v>0.37437185929648242</v>
      </c>
    </row>
    <row r="48" spans="1:15" x14ac:dyDescent="0.35">
      <c r="A48" s="1" t="s">
        <v>191</v>
      </c>
      <c r="C48" s="9">
        <f>C45-C50</f>
        <v>1154</v>
      </c>
      <c r="D48" s="9">
        <f t="shared" ref="D48:L48" si="160">D45-D50</f>
        <v>1318</v>
      </c>
      <c r="E48" s="9">
        <f t="shared" si="160"/>
        <v>1027.3</v>
      </c>
      <c r="F48" s="9">
        <f t="shared" si="160"/>
        <v>1667.35</v>
      </c>
      <c r="G48" s="9">
        <f t="shared" si="160"/>
        <v>1958.6999999999998</v>
      </c>
      <c r="H48" s="9">
        <f t="shared" si="160"/>
        <v>2366.9499999999998</v>
      </c>
      <c r="I48" s="9">
        <f t="shared" si="160"/>
        <v>2649.1499999999996</v>
      </c>
      <c r="J48" s="9">
        <f t="shared" si="160"/>
        <v>3133.95</v>
      </c>
      <c r="K48" s="9">
        <f t="shared" si="160"/>
        <v>2833.6000000000004</v>
      </c>
      <c r="L48" s="9">
        <f t="shared" si="160"/>
        <v>2533</v>
      </c>
      <c r="M48" s="36">
        <f>M45*M47</f>
        <v>2525.7890606827614</v>
      </c>
      <c r="N48" s="36">
        <f t="shared" ref="N48:O48" si="161">N45*N47</f>
        <v>2525.7890606827614</v>
      </c>
      <c r="O48" s="36">
        <f t="shared" si="161"/>
        <v>2525.7890606827614</v>
      </c>
    </row>
    <row r="50" spans="1:15" s="13" customFormat="1" x14ac:dyDescent="0.35">
      <c r="A50" s="12" t="s">
        <v>117</v>
      </c>
      <c r="B50" s="12"/>
      <c r="C50" s="15">
        <v>1855</v>
      </c>
      <c r="D50" s="15">
        <v>2338</v>
      </c>
      <c r="E50" s="15">
        <v>1784.7</v>
      </c>
      <c r="F50" s="15">
        <v>2806.65</v>
      </c>
      <c r="G50" s="15">
        <v>3267.3</v>
      </c>
      <c r="H50" s="15">
        <v>3928.05</v>
      </c>
      <c r="I50" s="15">
        <v>4367.8500000000004</v>
      </c>
      <c r="J50" s="15">
        <v>5126.05</v>
      </c>
      <c r="K50" s="15">
        <v>4678.3999999999996</v>
      </c>
      <c r="L50" s="15">
        <v>4233</v>
      </c>
      <c r="M50" s="15">
        <f>M45-M48</f>
        <v>4220.949504094011</v>
      </c>
      <c r="N50" s="15">
        <f t="shared" ref="N50:O50" si="162">N45-N48</f>
        <v>4220.949504094011</v>
      </c>
      <c r="O50" s="15">
        <f t="shared" si="162"/>
        <v>4220.949504094011</v>
      </c>
    </row>
    <row r="51" spans="1:15" s="1" customFormat="1" x14ac:dyDescent="0.35">
      <c r="A51" s="1" t="s">
        <v>138</v>
      </c>
      <c r="C51" s="3"/>
      <c r="D51" s="7">
        <f>D50/C50-1</f>
        <v>0.26037735849056598</v>
      </c>
      <c r="E51" s="7">
        <f t="shared" ref="E51" si="163">E50/D50-1</f>
        <v>-0.23665526090675792</v>
      </c>
      <c r="F51" s="7">
        <f t="shared" ref="F51" si="164">F50/E50-1</f>
        <v>0.57261724659606661</v>
      </c>
      <c r="G51" s="7">
        <f t="shared" ref="G51" si="165">G50/F50-1</f>
        <v>0.164128053016942</v>
      </c>
      <c r="H51" s="7">
        <f t="shared" ref="H51" si="166">H50/G50-1</f>
        <v>0.20223120007345519</v>
      </c>
      <c r="I51" s="7">
        <f t="shared" ref="I51" si="167">I50/H50-1</f>
        <v>0.11196395157902783</v>
      </c>
      <c r="J51" s="7">
        <f t="shared" ref="J51" si="168">J50/I50-1</f>
        <v>0.17358654715706812</v>
      </c>
      <c r="K51" s="7">
        <f t="shared" ref="K51" si="169">K50/J50-1</f>
        <v>-8.7328449781020612E-2</v>
      </c>
      <c r="L51" s="7">
        <f t="shared" ref="L51" si="170">L50/K50-1</f>
        <v>-9.5203488372092915E-2</v>
      </c>
      <c r="M51" s="37">
        <f t="shared" ref="M51" si="171">M50/L50-1</f>
        <v>-2.8467979933827214E-3</v>
      </c>
      <c r="N51" s="7">
        <f t="shared" ref="N51" si="172">N50/M50-1</f>
        <v>0</v>
      </c>
      <c r="O51" s="7">
        <f t="shared" ref="O51" si="173">O50/N50-1</f>
        <v>0</v>
      </c>
    </row>
    <row r="53" spans="1:15" s="13" customFormat="1" x14ac:dyDescent="0.35">
      <c r="A53" s="12" t="s">
        <v>193</v>
      </c>
      <c r="B53" s="12"/>
      <c r="C53" s="41">
        <f>C50/C56</f>
        <v>1.7278315946348735</v>
      </c>
      <c r="D53" s="41">
        <f t="shared" ref="D53:O53" si="174">D50/D56</f>
        <v>2.269902912621359</v>
      </c>
      <c r="E53" s="41">
        <f t="shared" si="174"/>
        <v>1.7642348754448398</v>
      </c>
      <c r="F53" s="41">
        <f t="shared" si="174"/>
        <v>2.7904653012527345</v>
      </c>
      <c r="G53" s="41">
        <f t="shared" si="174"/>
        <v>3.3353409554920375</v>
      </c>
      <c r="H53" s="41">
        <f t="shared" si="174"/>
        <v>4.1217733473242397</v>
      </c>
      <c r="I53" s="41">
        <f t="shared" si="174"/>
        <v>4.6885465865178189</v>
      </c>
      <c r="J53" s="41">
        <f t="shared" si="174"/>
        <v>5.6886583065142604</v>
      </c>
      <c r="K53" s="41">
        <f t="shared" si="174"/>
        <v>5.3811824246606852</v>
      </c>
      <c r="L53" s="41">
        <f t="shared" si="174"/>
        <v>5.067033756284415</v>
      </c>
      <c r="M53" s="41">
        <f t="shared" si="174"/>
        <v>5.0526089347546215</v>
      </c>
      <c r="N53" s="41">
        <f t="shared" si="174"/>
        <v>5.0526089347546215</v>
      </c>
      <c r="O53" s="41">
        <f t="shared" si="174"/>
        <v>5.0526089347546215</v>
      </c>
    </row>
    <row r="54" spans="1:15" s="1" customFormat="1" x14ac:dyDescent="0.35">
      <c r="A54" s="1" t="s">
        <v>138</v>
      </c>
      <c r="C54" s="3"/>
      <c r="D54" s="7">
        <f>D53/C53-1</f>
        <v>0.31372925444220523</v>
      </c>
      <c r="E54" s="7">
        <f t="shared" ref="E54" si="175">E53/D53-1</f>
        <v>-0.22277077771249565</v>
      </c>
      <c r="F54" s="7">
        <f t="shared" ref="F54" si="176">F53/E53-1</f>
        <v>0.58168582884925546</v>
      </c>
      <c r="G54" s="7">
        <f t="shared" ref="G54" si="177">G53/F53-1</f>
        <v>0.19526336844062886</v>
      </c>
      <c r="H54" s="7">
        <f t="shared" ref="H54" si="178">H53/G53-1</f>
        <v>0.23578770576280883</v>
      </c>
      <c r="I54" s="7">
        <f t="shared" ref="I54" si="179">I53/H53-1</f>
        <v>0.13750713380722779</v>
      </c>
      <c r="J54" s="7">
        <f t="shared" ref="J54" si="180">J53/I53-1</f>
        <v>0.21330954092944698</v>
      </c>
      <c r="K54" s="7">
        <f t="shared" ref="K54" si="181">K53/J53-1</f>
        <v>-5.4050685642601293E-2</v>
      </c>
      <c r="L54" s="7">
        <f t="shared" ref="L54" si="182">L53/K53-1</f>
        <v>-5.8379115143281757E-2</v>
      </c>
      <c r="M54" s="37">
        <f t="shared" ref="M54" si="183">M53/L53-1</f>
        <v>-2.8467979933828325E-3</v>
      </c>
      <c r="N54" s="7">
        <f t="shared" ref="N54" si="184">N53/M53-1</f>
        <v>0</v>
      </c>
      <c r="O54" s="7">
        <f t="shared" ref="O54" si="185">O53/N53-1</f>
        <v>0</v>
      </c>
    </row>
    <row r="56" spans="1:15" x14ac:dyDescent="0.35">
      <c r="A56" s="1" t="s">
        <v>128</v>
      </c>
      <c r="C56" s="1">
        <v>1073.5999999999999</v>
      </c>
      <c r="D56" s="1">
        <v>1030</v>
      </c>
      <c r="E56" s="1">
        <v>1011.6</v>
      </c>
      <c r="F56" s="1">
        <v>1005.8</v>
      </c>
      <c r="G56" s="1">
        <v>979.6</v>
      </c>
      <c r="H56" s="1">
        <v>953</v>
      </c>
      <c r="I56" s="1">
        <v>931.6</v>
      </c>
      <c r="J56" s="1">
        <v>901.1</v>
      </c>
      <c r="K56" s="1">
        <v>869.4</v>
      </c>
      <c r="L56" s="1">
        <v>835.4</v>
      </c>
      <c r="M56">
        <f>L56*(1+M57)</f>
        <v>835.4</v>
      </c>
      <c r="N56">
        <f t="shared" ref="N56:O56" si="186">M56*(1+N57)</f>
        <v>835.4</v>
      </c>
      <c r="O56">
        <f t="shared" si="186"/>
        <v>835.4</v>
      </c>
    </row>
    <row r="57" spans="1:15" s="1" customFormat="1" x14ac:dyDescent="0.35">
      <c r="A57" s="1" t="s">
        <v>138</v>
      </c>
      <c r="C57" s="3"/>
      <c r="D57" s="7">
        <f>D56/C56-1</f>
        <v>-4.0611028315946318E-2</v>
      </c>
      <c r="E57" s="7">
        <f t="shared" ref="E57" si="187">E56/D56-1</f>
        <v>-1.7864077669902945E-2</v>
      </c>
      <c r="F57" s="7">
        <f t="shared" ref="F57" si="188">F56/E56-1</f>
        <v>-5.7334914986161278E-3</v>
      </c>
      <c r="G57" s="7">
        <f t="shared" ref="G57" si="189">G56/F56-1</f>
        <v>-2.6048916285543733E-2</v>
      </c>
      <c r="H57" s="7">
        <f t="shared" ref="H57" si="190">H56/G56-1</f>
        <v>-2.7153940383830122E-2</v>
      </c>
      <c r="I57" s="7">
        <f t="shared" ref="I57" si="191">I56/H56-1</f>
        <v>-2.2455403987408196E-2</v>
      </c>
      <c r="J57" s="7">
        <f t="shared" ref="J57" si="192">J56/I56-1</f>
        <v>-3.2739373121511428E-2</v>
      </c>
      <c r="K57" s="7">
        <f t="shared" ref="K57" si="193">K56/J56-1</f>
        <v>-3.5179225391188562E-2</v>
      </c>
      <c r="L57" s="7">
        <f t="shared" ref="L57" si="194">L56/K56-1</f>
        <v>-3.9107430411778221E-2</v>
      </c>
      <c r="M57" s="8">
        <v>0</v>
      </c>
      <c r="N57" s="8">
        <v>0</v>
      </c>
      <c r="O57" s="8">
        <v>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pane xSplit="1" ySplit="1" topLeftCell="B2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ColWidth="9.23046875" defaultRowHeight="13.5" x14ac:dyDescent="0.35"/>
  <cols>
    <col min="1" max="1" width="25.921875" style="1" bestFit="1" customWidth="1"/>
    <col min="2" max="16384" width="9.23046875" style="1"/>
  </cols>
  <sheetData>
    <row r="1" spans="1:15" x14ac:dyDescent="0.3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x14ac:dyDescent="0.35">
      <c r="C2" s="5">
        <v>39447</v>
      </c>
      <c r="D2" s="5">
        <v>39813</v>
      </c>
      <c r="E2" s="5">
        <v>40178</v>
      </c>
      <c r="F2" s="5">
        <v>40543</v>
      </c>
      <c r="G2" s="5">
        <v>40908</v>
      </c>
      <c r="H2" s="5">
        <v>41274</v>
      </c>
      <c r="I2" s="5">
        <v>41639</v>
      </c>
      <c r="J2" s="5">
        <v>42004</v>
      </c>
      <c r="K2" s="5">
        <v>42369</v>
      </c>
      <c r="L2" s="5">
        <v>42735</v>
      </c>
      <c r="M2" s="5">
        <v>43100</v>
      </c>
      <c r="N2" s="5">
        <v>43465</v>
      </c>
      <c r="O2" s="5">
        <v>43830</v>
      </c>
    </row>
    <row r="3" spans="1:15" x14ac:dyDescent="0.35">
      <c r="A3" s="1" t="s">
        <v>13</v>
      </c>
      <c r="C3" s="3">
        <v>17815</v>
      </c>
      <c r="D3" s="3">
        <v>19466</v>
      </c>
      <c r="E3" s="3">
        <v>15394</v>
      </c>
      <c r="F3" s="3">
        <v>18125</v>
      </c>
      <c r="G3" s="3">
        <v>20672</v>
      </c>
      <c r="H3" s="3">
        <v>21557</v>
      </c>
      <c r="I3" s="3">
        <v>22387</v>
      </c>
      <c r="J3" s="3">
        <v>24328</v>
      </c>
      <c r="K3" s="3">
        <v>21856</v>
      </c>
      <c r="L3" s="3">
        <v>19767</v>
      </c>
      <c r="M3" s="3">
        <v>0</v>
      </c>
      <c r="N3" s="3">
        <v>0</v>
      </c>
      <c r="O3" s="3">
        <v>0</v>
      </c>
    </row>
    <row r="4" spans="1:15" x14ac:dyDescent="0.35">
      <c r="A4" s="1" t="s">
        <v>14</v>
      </c>
      <c r="C4" s="3">
        <v>16283</v>
      </c>
      <c r="D4" s="3">
        <v>17970</v>
      </c>
      <c r="E4" s="3">
        <v>14143</v>
      </c>
      <c r="F4" s="3">
        <v>16965</v>
      </c>
      <c r="G4" s="3">
        <v>19557</v>
      </c>
      <c r="H4" s="3">
        <v>20926</v>
      </c>
      <c r="I4" s="3">
        <v>21963</v>
      </c>
      <c r="J4" s="3">
        <v>23988</v>
      </c>
      <c r="K4" s="3">
        <v>21813</v>
      </c>
      <c r="L4" s="3">
        <v>19941</v>
      </c>
      <c r="M4" s="3">
        <v>18229.655755741987</v>
      </c>
      <c r="N4" s="3">
        <v>16665.179728842937</v>
      </c>
      <c r="O4" s="3">
        <v>15234.967632735388</v>
      </c>
    </row>
    <row r="5" spans="1:15" x14ac:dyDescent="0.35">
      <c r="A5" s="1" t="s">
        <v>15</v>
      </c>
    </row>
    <row r="6" spans="1:15" x14ac:dyDescent="0.35">
      <c r="A6" s="1" t="s">
        <v>15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</row>
    <row r="8" spans="1:15" x14ac:dyDescent="0.35">
      <c r="A8" s="1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5">
      <c r="A9" s="1" t="s">
        <v>17</v>
      </c>
      <c r="C9" s="3">
        <v>15516</v>
      </c>
      <c r="D9" s="3">
        <v>17118</v>
      </c>
      <c r="E9" s="3">
        <v>13373</v>
      </c>
      <c r="F9" s="3">
        <v>16069</v>
      </c>
      <c r="G9" s="3">
        <v>18508</v>
      </c>
      <c r="H9" s="3">
        <v>19686</v>
      </c>
      <c r="I9" s="3">
        <v>20684</v>
      </c>
      <c r="J9" s="3">
        <v>22560</v>
      </c>
      <c r="K9" s="3">
        <v>20397</v>
      </c>
      <c r="L9" s="3">
        <v>18601</v>
      </c>
      <c r="M9" s="3"/>
      <c r="N9" s="3">
        <v>0</v>
      </c>
      <c r="O9" s="3">
        <v>0</v>
      </c>
    </row>
    <row r="10" spans="1:15" x14ac:dyDescent="0.35">
      <c r="A10" s="1" t="s">
        <v>18</v>
      </c>
      <c r="C10" s="3">
        <v>767</v>
      </c>
      <c r="D10" s="3">
        <v>852</v>
      </c>
      <c r="E10" s="3">
        <v>770</v>
      </c>
      <c r="F10" s="3">
        <v>896</v>
      </c>
      <c r="G10" s="3">
        <v>1049</v>
      </c>
      <c r="H10" s="3">
        <v>1240</v>
      </c>
      <c r="I10" s="3">
        <v>1279</v>
      </c>
      <c r="J10" s="3">
        <v>1428</v>
      </c>
      <c r="K10" s="3">
        <v>1416</v>
      </c>
      <c r="L10" s="3">
        <v>1340</v>
      </c>
      <c r="M10" s="3"/>
      <c r="N10" s="3"/>
      <c r="O10" s="3"/>
    </row>
    <row r="11" spans="1:15" x14ac:dyDescent="0.3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5">
      <c r="A12" s="1" t="s">
        <v>19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5">
      <c r="A13" s="1" t="s">
        <v>17</v>
      </c>
      <c r="C13" s="3">
        <v>1594</v>
      </c>
      <c r="D13" s="3">
        <v>1848</v>
      </c>
      <c r="E13" s="3">
        <v>1718</v>
      </c>
      <c r="F13" s="3">
        <v>1823</v>
      </c>
      <c r="G13" s="3">
        <v>2040</v>
      </c>
      <c r="H13" s="3">
        <v>2176</v>
      </c>
      <c r="I13" s="3">
        <v>2293</v>
      </c>
      <c r="J13" s="3">
        <v>2344</v>
      </c>
      <c r="K13" s="3">
        <v>2251</v>
      </c>
      <c r="L13" s="3">
        <v>2203</v>
      </c>
      <c r="M13" s="3"/>
      <c r="N13" s="3"/>
      <c r="O13" s="3"/>
    </row>
    <row r="14" spans="1:15" x14ac:dyDescent="0.3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5">
      <c r="A15" s="1" t="s">
        <v>20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A16" s="1" t="s">
        <v>21</v>
      </c>
      <c r="C16" s="3">
        <v>3453</v>
      </c>
      <c r="D16" s="3">
        <v>3165</v>
      </c>
      <c r="E16" s="3">
        <v>2775</v>
      </c>
      <c r="F16" s="3">
        <v>3313</v>
      </c>
      <c r="G16" s="3">
        <v>3254</v>
      </c>
      <c r="H16" s="3">
        <v>3312</v>
      </c>
      <c r="I16" s="3">
        <v>3325</v>
      </c>
      <c r="J16" s="3">
        <v>3591</v>
      </c>
      <c r="K16" s="3">
        <v>3488</v>
      </c>
      <c r="L16" s="3">
        <v>3262</v>
      </c>
      <c r="M16" s="3"/>
      <c r="N16" s="3"/>
      <c r="O16" s="3"/>
    </row>
    <row r="17" spans="1:15" x14ac:dyDescent="0.35">
      <c r="A17" s="1" t="s">
        <v>22</v>
      </c>
      <c r="C17" s="3">
        <v>2299</v>
      </c>
      <c r="D17" s="3">
        <v>2348</v>
      </c>
      <c r="E17" s="3">
        <v>2021</v>
      </c>
      <c r="F17" s="3">
        <v>2056</v>
      </c>
      <c r="G17" s="3">
        <v>2164</v>
      </c>
      <c r="H17" s="3">
        <v>1871</v>
      </c>
      <c r="I17" s="3">
        <v>1703</v>
      </c>
      <c r="J17" s="3">
        <v>1768</v>
      </c>
      <c r="K17" s="3">
        <v>1459</v>
      </c>
      <c r="L17" s="3">
        <v>1166</v>
      </c>
      <c r="M17" s="3"/>
      <c r="N17" s="3"/>
      <c r="O17" s="3"/>
    </row>
    <row r="18" spans="1:15" x14ac:dyDescent="0.35">
      <c r="A18" s="1" t="s">
        <v>23</v>
      </c>
      <c r="C18" s="3">
        <v>1325</v>
      </c>
      <c r="D18" s="3">
        <v>1249</v>
      </c>
      <c r="E18" s="3">
        <v>899</v>
      </c>
      <c r="F18" s="3">
        <v>1073</v>
      </c>
      <c r="G18" s="3">
        <v>1146</v>
      </c>
      <c r="H18" s="3">
        <v>1185</v>
      </c>
      <c r="I18" s="3">
        <v>1236</v>
      </c>
      <c r="J18" s="3">
        <v>1368</v>
      </c>
      <c r="K18" s="3">
        <v>1213</v>
      </c>
      <c r="L18" s="3">
        <v>1097</v>
      </c>
      <c r="M18" s="3"/>
      <c r="N18" s="3"/>
      <c r="O18" s="3"/>
    </row>
    <row r="19" spans="1:15" x14ac:dyDescent="0.35">
      <c r="A19" s="1" t="s">
        <v>24</v>
      </c>
      <c r="C19" s="3">
        <v>928</v>
      </c>
      <c r="D19" s="3">
        <v>885</v>
      </c>
      <c r="E19" s="3">
        <v>761</v>
      </c>
      <c r="F19" s="3">
        <v>844</v>
      </c>
      <c r="G19" s="3">
        <v>921</v>
      </c>
      <c r="H19" s="3">
        <v>1042</v>
      </c>
      <c r="I19" s="3">
        <v>1103</v>
      </c>
      <c r="J19" s="3">
        <v>1116</v>
      </c>
      <c r="K19" s="3">
        <v>1098</v>
      </c>
      <c r="L19" s="3">
        <v>1074</v>
      </c>
      <c r="M19" s="3"/>
      <c r="N19" s="3"/>
      <c r="O19" s="3"/>
    </row>
    <row r="20" spans="1:15" x14ac:dyDescent="0.35">
      <c r="A20" s="1" t="s">
        <v>25</v>
      </c>
      <c r="C20" s="3">
        <v>902</v>
      </c>
      <c r="D20" s="3">
        <v>947</v>
      </c>
      <c r="E20" s="3">
        <v>865</v>
      </c>
      <c r="F20" s="3">
        <v>918</v>
      </c>
      <c r="G20" s="3">
        <v>934</v>
      </c>
      <c r="H20" s="3">
        <v>900</v>
      </c>
      <c r="I20" s="3">
        <v>874</v>
      </c>
      <c r="J20" s="3">
        <v>973</v>
      </c>
      <c r="K20" s="3">
        <v>941</v>
      </c>
      <c r="L20" s="3">
        <v>980</v>
      </c>
      <c r="M20" s="3"/>
      <c r="N20" s="3"/>
      <c r="O20" s="3"/>
    </row>
    <row r="21" spans="1:15" x14ac:dyDescent="0.35">
      <c r="A21" s="1" t="s">
        <v>26</v>
      </c>
      <c r="C21" s="3">
        <v>826</v>
      </c>
      <c r="D21" s="3">
        <v>667</v>
      </c>
      <c r="E21" s="3">
        <v>465</v>
      </c>
      <c r="F21" s="3">
        <v>611</v>
      </c>
      <c r="G21" s="3">
        <v>653</v>
      </c>
      <c r="H21" s="3">
        <v>738</v>
      </c>
      <c r="I21" s="3">
        <v>781</v>
      </c>
      <c r="J21" s="3">
        <v>809</v>
      </c>
      <c r="K21" s="3">
        <v>863</v>
      </c>
      <c r="L21" s="3">
        <v>863</v>
      </c>
      <c r="M21" s="3"/>
      <c r="N21" s="3"/>
      <c r="O21" s="3"/>
    </row>
    <row r="22" spans="1:15" x14ac:dyDescent="0.3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3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3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3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3:15" x14ac:dyDescent="0.3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3:15" x14ac:dyDescent="0.3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3:15" x14ac:dyDescent="0.3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3:15" x14ac:dyDescent="0.3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3:15" x14ac:dyDescent="0.3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3:15" x14ac:dyDescent="0.3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3:15" x14ac:dyDescent="0.3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3:15" x14ac:dyDescent="0.3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3:15" x14ac:dyDescent="0.3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3:15" x14ac:dyDescent="0.3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3:15" x14ac:dyDescent="0.3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3:15" x14ac:dyDescent="0.3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3:15" x14ac:dyDescent="0.35"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3:15" x14ac:dyDescent="0.35"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3:15" x14ac:dyDescent="0.35"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3:15" x14ac:dyDescent="0.35"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3:15" x14ac:dyDescent="0.35"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3:15" x14ac:dyDescent="0.35"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3:15" x14ac:dyDescent="0.35"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3:15" x14ac:dyDescent="0.35"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3:15" x14ac:dyDescent="0.35"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3:15" x14ac:dyDescent="0.35"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3:15" x14ac:dyDescent="0.35"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3:15" x14ac:dyDescent="0.35">
      <c r="C56" s="3"/>
      <c r="D56" s="3"/>
      <c r="E56" s="3"/>
      <c r="F56" s="3"/>
      <c r="G56" s="3"/>
      <c r="H56" s="3"/>
      <c r="I56" s="3"/>
      <c r="J56" s="3"/>
      <c r="K56" s="3"/>
      <c r="L56" s="3"/>
      <c r="M56" s="6"/>
      <c r="N56" s="6"/>
      <c r="O56" s="6"/>
    </row>
    <row r="57" spans="3:15" x14ac:dyDescent="0.35">
      <c r="C57" s="3"/>
      <c r="D57" s="3"/>
      <c r="E57" s="3"/>
      <c r="F57" s="3"/>
      <c r="G57" s="3"/>
      <c r="H57" s="3"/>
      <c r="I57" s="3"/>
      <c r="J57" s="3"/>
      <c r="K57" s="3"/>
      <c r="L57" s="3"/>
      <c r="M57" s="6"/>
      <c r="N57" s="6"/>
      <c r="O57" s="6"/>
    </row>
    <row r="58" spans="3:15" x14ac:dyDescent="0.35">
      <c r="C58" s="3"/>
      <c r="D58" s="3"/>
      <c r="E58" s="3"/>
      <c r="F58" s="3"/>
      <c r="G58" s="3"/>
      <c r="H58" s="3"/>
      <c r="I58" s="3"/>
      <c r="J58" s="3"/>
      <c r="K58" s="3"/>
      <c r="L58" s="3"/>
      <c r="M58" s="6"/>
      <c r="N58" s="6"/>
      <c r="O58" s="6"/>
    </row>
    <row r="59" spans="3:15" x14ac:dyDescent="0.35">
      <c r="C59" s="3"/>
      <c r="D59" s="3"/>
      <c r="E59" s="3"/>
      <c r="F59" s="3"/>
      <c r="G59" s="3"/>
      <c r="H59" s="3"/>
      <c r="I59" s="3"/>
      <c r="J59" s="3"/>
      <c r="K59" s="3"/>
      <c r="L59" s="3"/>
      <c r="M59" s="6"/>
      <c r="N59" s="6"/>
      <c r="O59" s="6"/>
    </row>
    <row r="60" spans="3:15" x14ac:dyDescent="0.35">
      <c r="C60" s="3"/>
      <c r="D60" s="3"/>
      <c r="E60" s="3"/>
      <c r="F60" s="3"/>
      <c r="G60" s="3"/>
      <c r="H60" s="3"/>
      <c r="I60" s="3"/>
      <c r="J60" s="3"/>
      <c r="K60" s="3"/>
      <c r="L60" s="3"/>
      <c r="M60" s="6"/>
      <c r="N60" s="6"/>
      <c r="O60" s="6"/>
    </row>
    <row r="61" spans="3:15" x14ac:dyDescent="0.35"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3:15" x14ac:dyDescent="0.35"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3:15" x14ac:dyDescent="0.35"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3:15" x14ac:dyDescent="0.35"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3:12" x14ac:dyDescent="0.35"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3:12" x14ac:dyDescent="0.35"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3:12" x14ac:dyDescent="0.35"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3:12" x14ac:dyDescent="0.35"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3:12" x14ac:dyDescent="0.35"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3:12" x14ac:dyDescent="0.35"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3:12" x14ac:dyDescent="0.35"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3:12" x14ac:dyDescent="0.35"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3:12" x14ac:dyDescent="0.35"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3:12" x14ac:dyDescent="0.35"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3:12" x14ac:dyDescent="0.35"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3:12" x14ac:dyDescent="0.35"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3:12" x14ac:dyDescent="0.35"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3:12" x14ac:dyDescent="0.35"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3:12" x14ac:dyDescent="0.35"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3:12" x14ac:dyDescent="0.35"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3:12" x14ac:dyDescent="0.35"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3:12" x14ac:dyDescent="0.35"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3:12" x14ac:dyDescent="0.35"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3:12" x14ac:dyDescent="0.35"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3:12" x14ac:dyDescent="0.35"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3:12" x14ac:dyDescent="0.35"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3:12" x14ac:dyDescent="0.35"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3:12" x14ac:dyDescent="0.35"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3:12" x14ac:dyDescent="0.35"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3:12" x14ac:dyDescent="0.35"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3:12" x14ac:dyDescent="0.35"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3:12" x14ac:dyDescent="0.35"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3:12" x14ac:dyDescent="0.35"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3:12" x14ac:dyDescent="0.35"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3:12" x14ac:dyDescent="0.35"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3:12" x14ac:dyDescent="0.35"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3:12" x14ac:dyDescent="0.35"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3:12" x14ac:dyDescent="0.35"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3:12" x14ac:dyDescent="0.35"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3:12" x14ac:dyDescent="0.35"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3:12" x14ac:dyDescent="0.35"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3:12" x14ac:dyDescent="0.35"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3:12" x14ac:dyDescent="0.35"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3:12" x14ac:dyDescent="0.35"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3:12" x14ac:dyDescent="0.35"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3:12" x14ac:dyDescent="0.35"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3:12" x14ac:dyDescent="0.35"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3:12" x14ac:dyDescent="0.35"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3:12" x14ac:dyDescent="0.35"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3:12" x14ac:dyDescent="0.35"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3:12" x14ac:dyDescent="0.35"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3:12" x14ac:dyDescent="0.35"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3:12" x14ac:dyDescent="0.35">
      <c r="C113" s="3"/>
      <c r="D113" s="3"/>
      <c r="E113" s="3"/>
      <c r="F113" s="3"/>
      <c r="G113" s="3"/>
      <c r="H113" s="3"/>
      <c r="I113" s="3"/>
      <c r="J113" s="3"/>
      <c r="K113" s="3"/>
      <c r="L11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topLeftCell="A35" workbookViewId="0">
      <selection activeCell="A22" sqref="A22"/>
    </sheetView>
  </sheetViews>
  <sheetFormatPr defaultColWidth="9.23046875" defaultRowHeight="13.5" x14ac:dyDescent="0.35"/>
  <cols>
    <col min="1" max="1" width="34" style="1" bestFit="1" customWidth="1"/>
    <col min="2" max="16384" width="9.23046875" style="1"/>
  </cols>
  <sheetData>
    <row r="2" spans="1:14" x14ac:dyDescent="0.35">
      <c r="A2" s="1" t="s">
        <v>27</v>
      </c>
    </row>
    <row r="4" spans="1:14" x14ac:dyDescent="0.35">
      <c r="A4" s="1" t="s">
        <v>28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29</v>
      </c>
      <c r="N4" s="1" t="s">
        <v>30</v>
      </c>
    </row>
    <row r="5" spans="1:14" x14ac:dyDescent="0.35">
      <c r="A5" s="1" t="s">
        <v>31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36</v>
      </c>
      <c r="H5" s="1" t="s">
        <v>37</v>
      </c>
      <c r="I5" s="1" t="s">
        <v>38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43</v>
      </c>
    </row>
    <row r="6" spans="1:14" x14ac:dyDescent="0.35">
      <c r="A6" s="1" t="s">
        <v>16</v>
      </c>
      <c r="B6" s="1" t="s">
        <v>44</v>
      </c>
      <c r="C6" s="2">
        <v>16283</v>
      </c>
      <c r="D6" s="2">
        <v>17970</v>
      </c>
      <c r="E6" s="2">
        <v>14143</v>
      </c>
      <c r="F6" s="2">
        <v>16965</v>
      </c>
      <c r="G6" s="2">
        <v>19557</v>
      </c>
      <c r="H6" s="2">
        <v>20926</v>
      </c>
      <c r="I6" s="2">
        <v>21963</v>
      </c>
      <c r="J6" s="2">
        <v>23988</v>
      </c>
      <c r="K6" s="2">
        <v>21813</v>
      </c>
      <c r="L6" s="2">
        <v>19941</v>
      </c>
      <c r="M6" s="2">
        <v>20922.888999999999</v>
      </c>
      <c r="N6" s="2">
        <v>22006.191999999999</v>
      </c>
    </row>
    <row r="7" spans="1:14" x14ac:dyDescent="0.35">
      <c r="A7" s="1" t="s">
        <v>45</v>
      </c>
      <c r="B7" s="1" t="s">
        <v>46</v>
      </c>
      <c r="C7" s="2" t="s">
        <v>47</v>
      </c>
      <c r="D7" s="2" t="s">
        <v>47</v>
      </c>
      <c r="E7" s="2">
        <v>13373</v>
      </c>
      <c r="F7" s="2">
        <v>16069</v>
      </c>
      <c r="G7" s="2">
        <v>18508</v>
      </c>
      <c r="H7" s="2">
        <v>19686</v>
      </c>
      <c r="I7" s="2">
        <v>20684</v>
      </c>
      <c r="J7" s="2">
        <v>22560</v>
      </c>
      <c r="K7" s="2">
        <v>20397</v>
      </c>
      <c r="L7" s="2">
        <v>18601</v>
      </c>
      <c r="M7" s="2"/>
      <c r="N7" s="2"/>
    </row>
    <row r="8" spans="1:14" x14ac:dyDescent="0.35">
      <c r="A8" s="1" t="s">
        <v>48</v>
      </c>
      <c r="B8" s="1" t="s">
        <v>49</v>
      </c>
      <c r="C8" s="2" t="s">
        <v>47</v>
      </c>
      <c r="D8" s="2" t="s">
        <v>47</v>
      </c>
      <c r="E8" s="2">
        <v>770</v>
      </c>
      <c r="F8" s="2">
        <v>896</v>
      </c>
      <c r="G8" s="2">
        <v>1049</v>
      </c>
      <c r="H8" s="2">
        <v>1240</v>
      </c>
      <c r="I8" s="2">
        <v>1279</v>
      </c>
      <c r="J8" s="2">
        <v>1428</v>
      </c>
      <c r="K8" s="2">
        <v>1416</v>
      </c>
      <c r="L8" s="2">
        <v>1340</v>
      </c>
      <c r="M8" s="2"/>
      <c r="N8" s="2"/>
    </row>
    <row r="9" spans="1:14" x14ac:dyDescent="0.35">
      <c r="A9" s="1" t="s">
        <v>50</v>
      </c>
      <c r="B9" s="1" t="s">
        <v>51</v>
      </c>
      <c r="C9" s="2" t="s">
        <v>47</v>
      </c>
      <c r="D9" s="2" t="s">
        <v>47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>
        <v>8958.1349253499993</v>
      </c>
      <c r="N9" s="2">
        <v>10514.99866144</v>
      </c>
    </row>
    <row r="10" spans="1:14" x14ac:dyDescent="0.35">
      <c r="A10" s="1" t="s">
        <v>52</v>
      </c>
      <c r="B10" s="1" t="s">
        <v>53</v>
      </c>
      <c r="C10" s="2" t="s">
        <v>47</v>
      </c>
      <c r="D10" s="2" t="s">
        <v>47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/>
      <c r="N10" s="2"/>
    </row>
    <row r="11" spans="1:14" x14ac:dyDescent="0.35">
      <c r="A11" s="1" t="s">
        <v>54</v>
      </c>
      <c r="B11" s="1" t="s">
        <v>55</v>
      </c>
      <c r="C11" s="2">
        <v>12908</v>
      </c>
      <c r="D11" s="2">
        <v>13895</v>
      </c>
      <c r="E11" s="2">
        <v>10764</v>
      </c>
      <c r="F11" s="2">
        <v>11939</v>
      </c>
      <c r="G11" s="2">
        <v>13833</v>
      </c>
      <c r="H11" s="2">
        <v>14181</v>
      </c>
      <c r="I11" s="2">
        <v>14517</v>
      </c>
      <c r="J11" s="2">
        <v>15235</v>
      </c>
      <c r="K11" s="2">
        <v>13761</v>
      </c>
      <c r="L11" s="2">
        <v>12669</v>
      </c>
      <c r="M11" s="2"/>
      <c r="N11" s="2"/>
    </row>
    <row r="12" spans="1:14" x14ac:dyDescent="0.35">
      <c r="A12" s="1" t="s">
        <v>56</v>
      </c>
      <c r="B12" s="1" t="s">
        <v>57</v>
      </c>
      <c r="C12" s="2" t="s">
        <v>47</v>
      </c>
      <c r="D12" s="2" t="s">
        <v>47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 t="s">
        <v>47</v>
      </c>
      <c r="M12" s="2"/>
      <c r="N12" s="2"/>
    </row>
    <row r="13" spans="1:14" x14ac:dyDescent="0.35">
      <c r="A13" s="1" t="s">
        <v>58</v>
      </c>
      <c r="B13" s="1" t="s">
        <v>59</v>
      </c>
      <c r="C13" s="2" t="s">
        <v>47</v>
      </c>
      <c r="D13" s="2" t="s">
        <v>47</v>
      </c>
      <c r="E13" s="2">
        <v>1427</v>
      </c>
      <c r="F13" s="2">
        <v>1487</v>
      </c>
      <c r="G13" s="2">
        <v>1617</v>
      </c>
      <c r="H13" s="2">
        <v>1760</v>
      </c>
      <c r="I13" s="2">
        <v>1777</v>
      </c>
      <c r="J13" s="2">
        <v>1904</v>
      </c>
      <c r="K13" s="2">
        <v>2012</v>
      </c>
      <c r="L13" s="2">
        <v>2038</v>
      </c>
      <c r="M13" s="2"/>
      <c r="N13" s="2"/>
    </row>
    <row r="14" spans="1:14" x14ac:dyDescent="0.35">
      <c r="A14" s="1" t="s">
        <v>60</v>
      </c>
      <c r="B14" s="1" t="s">
        <v>61</v>
      </c>
      <c r="C14" s="2" t="s">
        <v>47</v>
      </c>
      <c r="D14" s="2" t="s">
        <v>47</v>
      </c>
      <c r="E14" s="2">
        <v>9337</v>
      </c>
      <c r="F14" s="2">
        <v>10452</v>
      </c>
      <c r="G14" s="2">
        <v>12216</v>
      </c>
      <c r="H14" s="2">
        <v>12421</v>
      </c>
      <c r="I14" s="2">
        <v>12740</v>
      </c>
      <c r="J14" s="2">
        <v>13331</v>
      </c>
      <c r="K14" s="2">
        <v>11749</v>
      </c>
      <c r="L14" s="2">
        <v>10631</v>
      </c>
      <c r="M14" s="2"/>
      <c r="N14" s="2"/>
    </row>
    <row r="15" spans="1:14" x14ac:dyDescent="0.35">
      <c r="A15" s="1" t="s">
        <v>62</v>
      </c>
      <c r="B15" s="1" t="s">
        <v>63</v>
      </c>
      <c r="C15" s="2">
        <v>3375</v>
      </c>
      <c r="D15" s="2">
        <v>4075</v>
      </c>
      <c r="E15" s="2">
        <v>3379</v>
      </c>
      <c r="F15" s="2">
        <v>5026</v>
      </c>
      <c r="G15" s="2">
        <v>5724</v>
      </c>
      <c r="H15" s="2">
        <v>6745</v>
      </c>
      <c r="I15" s="2">
        <v>7446</v>
      </c>
      <c r="J15" s="2">
        <v>8753</v>
      </c>
      <c r="K15" s="2">
        <v>8052</v>
      </c>
      <c r="L15" s="2">
        <v>7272</v>
      </c>
      <c r="M15" s="2">
        <v>7809.8329999999996</v>
      </c>
      <c r="N15" s="2">
        <v>8426.5879999999997</v>
      </c>
    </row>
    <row r="16" spans="1:14" x14ac:dyDescent="0.35">
      <c r="A16" s="1" t="s">
        <v>64</v>
      </c>
      <c r="B16" s="1" t="s">
        <v>65</v>
      </c>
      <c r="C16" s="2" t="s">
        <v>47</v>
      </c>
      <c r="D16" s="2" t="s">
        <v>47</v>
      </c>
      <c r="E16" s="2">
        <v>567</v>
      </c>
      <c r="F16" s="2">
        <v>552</v>
      </c>
      <c r="G16" s="2">
        <v>498</v>
      </c>
      <c r="H16" s="2">
        <v>450</v>
      </c>
      <c r="I16" s="2">
        <v>429</v>
      </c>
      <c r="J16" s="2">
        <v>493</v>
      </c>
      <c r="K16" s="2">
        <v>540</v>
      </c>
      <c r="L16" s="2">
        <v>506</v>
      </c>
      <c r="M16" s="2"/>
      <c r="N16" s="2"/>
    </row>
    <row r="17" spans="1:14" x14ac:dyDescent="0.35">
      <c r="A17" s="1" t="s">
        <v>66</v>
      </c>
      <c r="B17" s="1" t="s">
        <v>67</v>
      </c>
      <c r="C17" s="2">
        <v>432</v>
      </c>
      <c r="D17" s="2">
        <v>490</v>
      </c>
      <c r="E17" s="2">
        <v>595</v>
      </c>
      <c r="F17" s="2">
        <v>598</v>
      </c>
      <c r="G17" s="2">
        <v>569</v>
      </c>
      <c r="H17" s="2">
        <v>532</v>
      </c>
      <c r="I17" s="2">
        <v>522</v>
      </c>
      <c r="J17" s="2">
        <v>557</v>
      </c>
      <c r="K17" s="2">
        <v>617</v>
      </c>
      <c r="L17" s="2" t="s">
        <v>47</v>
      </c>
      <c r="M17" s="2"/>
      <c r="N17" s="2"/>
    </row>
    <row r="18" spans="1:14" x14ac:dyDescent="0.35">
      <c r="A18" s="1" t="s">
        <v>68</v>
      </c>
      <c r="B18" s="1" t="s">
        <v>69</v>
      </c>
      <c r="C18" s="2">
        <v>482</v>
      </c>
      <c r="D18" s="2">
        <v>511</v>
      </c>
      <c r="E18" s="2">
        <v>600</v>
      </c>
      <c r="F18" s="2">
        <v>602</v>
      </c>
      <c r="G18" s="2">
        <v>572</v>
      </c>
      <c r="H18" s="2">
        <v>535</v>
      </c>
      <c r="I18" s="2">
        <v>526</v>
      </c>
      <c r="J18" s="2">
        <v>561</v>
      </c>
      <c r="K18" s="2">
        <v>622</v>
      </c>
      <c r="L18" s="2">
        <v>698</v>
      </c>
      <c r="M18" s="2"/>
      <c r="N18" s="2"/>
    </row>
    <row r="19" spans="1:14" x14ac:dyDescent="0.35">
      <c r="A19" s="1" t="s">
        <v>70</v>
      </c>
      <c r="B19" s="1" t="s">
        <v>71</v>
      </c>
      <c r="C19" s="2">
        <v>50</v>
      </c>
      <c r="D19" s="2">
        <v>21</v>
      </c>
      <c r="E19" s="2">
        <v>5</v>
      </c>
      <c r="F19" s="2">
        <v>4</v>
      </c>
      <c r="G19" s="2">
        <v>3</v>
      </c>
      <c r="H19" s="2">
        <v>3</v>
      </c>
      <c r="I19" s="2">
        <v>4</v>
      </c>
      <c r="J19" s="2">
        <v>4</v>
      </c>
      <c r="K19" s="2">
        <v>5</v>
      </c>
      <c r="L19" s="2" t="s">
        <v>47</v>
      </c>
      <c r="M19" s="2"/>
      <c r="N19" s="2"/>
    </row>
    <row r="20" spans="1:14" x14ac:dyDescent="0.35">
      <c r="A20" s="1" t="s">
        <v>72</v>
      </c>
      <c r="B20" s="1" t="s">
        <v>73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 t="s">
        <v>47</v>
      </c>
      <c r="M20" s="2"/>
      <c r="N20" s="2"/>
    </row>
    <row r="21" spans="1:14" x14ac:dyDescent="0.35">
      <c r="A21" s="1" t="s">
        <v>74</v>
      </c>
      <c r="B21" s="1" t="s">
        <v>75</v>
      </c>
      <c r="C21" s="2" t="s">
        <v>47</v>
      </c>
      <c r="D21" s="2" t="s">
        <v>47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 t="s">
        <v>47</v>
      </c>
      <c r="K21" s="2" t="s">
        <v>47</v>
      </c>
      <c r="L21" s="2" t="s">
        <v>47</v>
      </c>
      <c r="M21" s="2"/>
      <c r="N21" s="2"/>
    </row>
    <row r="22" spans="1:14" x14ac:dyDescent="0.35">
      <c r="A22" s="1" t="s">
        <v>76</v>
      </c>
      <c r="B22" s="1" t="s">
        <v>77</v>
      </c>
      <c r="C22" s="2" t="s">
        <v>47</v>
      </c>
      <c r="D22" s="2" t="s">
        <v>47</v>
      </c>
      <c r="E22" s="2">
        <v>-28</v>
      </c>
      <c r="F22" s="2">
        <v>-46</v>
      </c>
      <c r="G22" s="2">
        <v>-71</v>
      </c>
      <c r="H22" s="2">
        <v>-82</v>
      </c>
      <c r="I22" s="2">
        <v>-93</v>
      </c>
      <c r="J22" s="2">
        <v>-64</v>
      </c>
      <c r="K22" s="2">
        <v>-77</v>
      </c>
      <c r="L22" s="2">
        <v>-192</v>
      </c>
      <c r="M22" s="2"/>
      <c r="N22" s="2"/>
    </row>
    <row r="23" spans="1:14" x14ac:dyDescent="0.35">
      <c r="A23" s="1" t="s">
        <v>78</v>
      </c>
      <c r="B23" s="1" t="s">
        <v>79</v>
      </c>
      <c r="C23" s="2">
        <v>3009</v>
      </c>
      <c r="D23" s="2">
        <v>3656</v>
      </c>
      <c r="E23" s="2">
        <v>2812</v>
      </c>
      <c r="F23" s="2">
        <v>4474</v>
      </c>
      <c r="G23" s="2">
        <v>5226</v>
      </c>
      <c r="H23" s="2">
        <v>6295</v>
      </c>
      <c r="I23" s="2">
        <v>7017</v>
      </c>
      <c r="J23" s="2">
        <v>8260</v>
      </c>
      <c r="K23" s="2">
        <v>7512</v>
      </c>
      <c r="L23" s="2">
        <v>6766</v>
      </c>
      <c r="M23" s="2">
        <v>7228.85</v>
      </c>
      <c r="N23" s="2">
        <v>7813.15</v>
      </c>
    </row>
    <row r="24" spans="1:14" x14ac:dyDescent="0.35">
      <c r="A24" s="1" t="s">
        <v>80</v>
      </c>
      <c r="B24" s="1" t="s">
        <v>81</v>
      </c>
      <c r="C24" s="2">
        <v>0</v>
      </c>
      <c r="D24" s="2">
        <v>0</v>
      </c>
      <c r="E24" s="2">
        <v>-162</v>
      </c>
      <c r="F24" s="2">
        <v>41</v>
      </c>
      <c r="G24" s="2">
        <v>-38</v>
      </c>
      <c r="H24" s="2">
        <v>-23</v>
      </c>
      <c r="I24" s="2">
        <v>-31</v>
      </c>
      <c r="J24" s="2">
        <v>-83</v>
      </c>
      <c r="K24" s="2">
        <v>-144</v>
      </c>
      <c r="L24" s="2">
        <v>0</v>
      </c>
      <c r="M24" s="2"/>
      <c r="N24" s="2"/>
    </row>
    <row r="25" spans="1:14" x14ac:dyDescent="0.35">
      <c r="A25" s="1" t="s">
        <v>82</v>
      </c>
      <c r="B25" s="1" t="s">
        <v>83</v>
      </c>
      <c r="C25" s="2" t="s">
        <v>47</v>
      </c>
      <c r="D25" s="2" t="s">
        <v>47</v>
      </c>
      <c r="E25" s="2">
        <v>-162</v>
      </c>
      <c r="F25" s="2">
        <v>-25</v>
      </c>
      <c r="G25" s="2">
        <v>-43</v>
      </c>
      <c r="H25" s="2">
        <v>-29</v>
      </c>
      <c r="I25" s="2">
        <v>-32</v>
      </c>
      <c r="J25" s="2">
        <v>-83</v>
      </c>
      <c r="K25" s="2">
        <v>-144</v>
      </c>
      <c r="L25" s="2" t="s">
        <v>47</v>
      </c>
      <c r="M25" s="2"/>
      <c r="N25" s="2"/>
    </row>
    <row r="26" spans="1:14" x14ac:dyDescent="0.35">
      <c r="A26" s="1" t="s">
        <v>84</v>
      </c>
      <c r="B26" s="1" t="s">
        <v>85</v>
      </c>
      <c r="C26" s="2" t="s">
        <v>47</v>
      </c>
      <c r="D26" s="2" t="s">
        <v>47</v>
      </c>
      <c r="E26" s="2" t="s">
        <v>47</v>
      </c>
      <c r="F26" s="2">
        <v>21</v>
      </c>
      <c r="G26" s="2">
        <v>5</v>
      </c>
      <c r="H26" s="2">
        <v>6</v>
      </c>
      <c r="I26" s="2">
        <v>1</v>
      </c>
      <c r="J26" s="2" t="s">
        <v>47</v>
      </c>
      <c r="K26" s="2" t="s">
        <v>47</v>
      </c>
      <c r="L26" s="2" t="s">
        <v>47</v>
      </c>
      <c r="M26" s="2"/>
      <c r="N26" s="2"/>
    </row>
    <row r="27" spans="1:14" x14ac:dyDescent="0.35">
      <c r="A27" s="1" t="s">
        <v>86</v>
      </c>
      <c r="B27" s="1" t="s">
        <v>87</v>
      </c>
      <c r="C27" s="2" t="s">
        <v>47</v>
      </c>
      <c r="D27" s="2" t="s">
        <v>47</v>
      </c>
      <c r="E27" s="2" t="s">
        <v>47</v>
      </c>
      <c r="F27" s="2">
        <v>45</v>
      </c>
      <c r="G27" s="2" t="s">
        <v>47</v>
      </c>
      <c r="H27" s="2" t="s">
        <v>47</v>
      </c>
      <c r="I27" s="2" t="s">
        <v>47</v>
      </c>
      <c r="J27" s="2" t="s">
        <v>47</v>
      </c>
      <c r="K27" s="2" t="s">
        <v>47</v>
      </c>
      <c r="L27" s="2" t="s">
        <v>47</v>
      </c>
      <c r="M27" s="2"/>
      <c r="N27" s="2"/>
    </row>
    <row r="28" spans="1:14" x14ac:dyDescent="0.35">
      <c r="A28" s="1" t="s">
        <v>88</v>
      </c>
      <c r="B28" s="1" t="s">
        <v>89</v>
      </c>
      <c r="C28" s="2">
        <v>0</v>
      </c>
      <c r="D28" s="2">
        <v>0</v>
      </c>
      <c r="E28" s="2" t="s">
        <v>47</v>
      </c>
      <c r="F28" s="2" t="s">
        <v>47</v>
      </c>
      <c r="G28" s="2" t="s">
        <v>47</v>
      </c>
      <c r="H28" s="2" t="s">
        <v>47</v>
      </c>
      <c r="I28" s="2" t="s">
        <v>47</v>
      </c>
      <c r="J28" s="2" t="s">
        <v>47</v>
      </c>
      <c r="K28" s="2" t="s">
        <v>47</v>
      </c>
      <c r="L28" s="2" t="s">
        <v>47</v>
      </c>
      <c r="M28" s="2"/>
      <c r="N28" s="2"/>
    </row>
    <row r="29" spans="1:14" x14ac:dyDescent="0.35">
      <c r="A29" s="1" t="s">
        <v>90</v>
      </c>
      <c r="B29" s="1" t="s">
        <v>79</v>
      </c>
      <c r="C29" s="2">
        <v>3009</v>
      </c>
      <c r="D29" s="2">
        <v>3656</v>
      </c>
      <c r="E29" s="2">
        <v>2974</v>
      </c>
      <c r="F29" s="2">
        <v>4433</v>
      </c>
      <c r="G29" s="2">
        <v>5264</v>
      </c>
      <c r="H29" s="2">
        <v>6318</v>
      </c>
      <c r="I29" s="2">
        <v>7048</v>
      </c>
      <c r="J29" s="2">
        <v>8343</v>
      </c>
      <c r="K29" s="2">
        <v>7656</v>
      </c>
      <c r="L29" s="2">
        <v>6766</v>
      </c>
      <c r="M29" s="2">
        <v>7228.85</v>
      </c>
      <c r="N29" s="2">
        <v>7813.15</v>
      </c>
    </row>
    <row r="30" spans="1:14" x14ac:dyDescent="0.35">
      <c r="A30" s="1" t="s">
        <v>91</v>
      </c>
      <c r="B30" s="1" t="s">
        <v>92</v>
      </c>
      <c r="C30" s="2">
        <v>1154</v>
      </c>
      <c r="D30" s="2">
        <v>1318</v>
      </c>
      <c r="E30" s="2">
        <v>1084</v>
      </c>
      <c r="F30" s="2">
        <v>1653</v>
      </c>
      <c r="G30" s="2">
        <v>1972</v>
      </c>
      <c r="H30" s="2">
        <v>2375</v>
      </c>
      <c r="I30" s="2">
        <v>2660</v>
      </c>
      <c r="J30" s="2">
        <v>3163</v>
      </c>
      <c r="K30" s="2">
        <v>2884</v>
      </c>
      <c r="L30" s="2">
        <v>2533</v>
      </c>
      <c r="M30" s="2"/>
      <c r="N30" s="2"/>
    </row>
    <row r="31" spans="1:14" x14ac:dyDescent="0.35">
      <c r="A31" s="1" t="s">
        <v>93</v>
      </c>
      <c r="B31" s="1" t="s">
        <v>94</v>
      </c>
      <c r="C31" s="2" t="s">
        <v>47</v>
      </c>
      <c r="D31" s="2" t="s">
        <v>47</v>
      </c>
      <c r="E31" s="2" t="s">
        <v>47</v>
      </c>
      <c r="F31" s="2" t="s">
        <v>47</v>
      </c>
      <c r="G31" s="2" t="s">
        <v>47</v>
      </c>
      <c r="H31" s="2" t="s">
        <v>47</v>
      </c>
      <c r="I31" s="2" t="s">
        <v>47</v>
      </c>
      <c r="J31" s="2">
        <v>2268</v>
      </c>
      <c r="K31" s="2">
        <v>2119</v>
      </c>
      <c r="L31" s="2" t="s">
        <v>47</v>
      </c>
      <c r="M31" s="2"/>
      <c r="N31" s="2"/>
    </row>
    <row r="32" spans="1:14" x14ac:dyDescent="0.35">
      <c r="A32" s="1" t="s">
        <v>95</v>
      </c>
      <c r="B32" s="1" t="s">
        <v>96</v>
      </c>
      <c r="C32" s="2" t="s">
        <v>47</v>
      </c>
      <c r="D32" s="2" t="s">
        <v>47</v>
      </c>
      <c r="E32" s="2" t="s">
        <v>47</v>
      </c>
      <c r="F32" s="2" t="s">
        <v>47</v>
      </c>
      <c r="G32" s="2" t="s">
        <v>47</v>
      </c>
      <c r="H32" s="2" t="s">
        <v>47</v>
      </c>
      <c r="I32" s="2" t="s">
        <v>47</v>
      </c>
      <c r="J32" s="2">
        <v>895</v>
      </c>
      <c r="K32" s="2">
        <v>765</v>
      </c>
      <c r="L32" s="2" t="s">
        <v>47</v>
      </c>
      <c r="M32" s="2"/>
      <c r="N32" s="2"/>
    </row>
    <row r="33" spans="1:14" x14ac:dyDescent="0.35">
      <c r="A33" s="1" t="s">
        <v>97</v>
      </c>
      <c r="B33" s="1" t="s">
        <v>98</v>
      </c>
      <c r="C33" s="2">
        <v>1855</v>
      </c>
      <c r="D33" s="2">
        <v>2338</v>
      </c>
      <c r="E33" s="2">
        <v>1890</v>
      </c>
      <c r="F33" s="2">
        <v>2780</v>
      </c>
      <c r="G33" s="2">
        <v>3292</v>
      </c>
      <c r="H33" s="2">
        <v>3943</v>
      </c>
      <c r="I33" s="2">
        <v>4388</v>
      </c>
      <c r="J33" s="2">
        <v>5180</v>
      </c>
      <c r="K33" s="2">
        <v>4772</v>
      </c>
      <c r="L33" s="2">
        <v>4233</v>
      </c>
      <c r="M33" s="2">
        <v>4544.0770000000002</v>
      </c>
      <c r="N33" s="2">
        <v>4982.75</v>
      </c>
    </row>
    <row r="34" spans="1:14" x14ac:dyDescent="0.35">
      <c r="A34" s="1" t="s">
        <v>99</v>
      </c>
      <c r="B34" s="1" t="s">
        <v>100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/>
      <c r="N34" s="2"/>
    </row>
    <row r="35" spans="1:14" x14ac:dyDescent="0.35">
      <c r="A35" s="1" t="s">
        <v>101</v>
      </c>
      <c r="B35" s="1" t="s">
        <v>102</v>
      </c>
      <c r="C35" s="2" t="s">
        <v>47</v>
      </c>
      <c r="D35" s="2" t="s">
        <v>47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/>
      <c r="N35" s="2"/>
    </row>
    <row r="36" spans="1:14" x14ac:dyDescent="0.35">
      <c r="A36" s="1" t="s">
        <v>103</v>
      </c>
      <c r="B36" s="1" t="s">
        <v>104</v>
      </c>
      <c r="C36" s="2" t="s">
        <v>47</v>
      </c>
      <c r="D36" s="2" t="s">
        <v>47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/>
      <c r="N36" s="2"/>
    </row>
    <row r="37" spans="1:14" x14ac:dyDescent="0.35">
      <c r="A37" s="1" t="s">
        <v>105</v>
      </c>
      <c r="B37" s="1" t="s">
        <v>106</v>
      </c>
      <c r="C37" s="2">
        <v>1855</v>
      </c>
      <c r="D37" s="2">
        <v>2338</v>
      </c>
      <c r="E37" s="2">
        <v>1890</v>
      </c>
      <c r="F37" s="2">
        <v>2780</v>
      </c>
      <c r="G37" s="2">
        <v>3292</v>
      </c>
      <c r="H37" s="2">
        <v>3943</v>
      </c>
      <c r="I37" s="2">
        <v>4388</v>
      </c>
      <c r="J37" s="2">
        <v>5180</v>
      </c>
      <c r="K37" s="2">
        <v>4772</v>
      </c>
      <c r="L37" s="2">
        <v>4233</v>
      </c>
      <c r="M37" s="2"/>
      <c r="N37" s="2"/>
    </row>
    <row r="38" spans="1:14" x14ac:dyDescent="0.35">
      <c r="A38" s="1" t="s">
        <v>107</v>
      </c>
      <c r="B38" s="1" t="s">
        <v>108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/>
      <c r="N38" s="2"/>
    </row>
    <row r="39" spans="1:14" x14ac:dyDescent="0.35">
      <c r="A39" s="1" t="s">
        <v>109</v>
      </c>
      <c r="B39" s="1" t="s">
        <v>110</v>
      </c>
      <c r="C39" s="2">
        <v>1855</v>
      </c>
      <c r="D39" s="2">
        <v>2338</v>
      </c>
      <c r="E39" s="2">
        <v>1890</v>
      </c>
      <c r="F39" s="2">
        <v>2780</v>
      </c>
      <c r="G39" s="2">
        <v>3292</v>
      </c>
      <c r="H39" s="2">
        <v>3943</v>
      </c>
      <c r="I39" s="2">
        <v>4388</v>
      </c>
      <c r="J39" s="2">
        <v>5180</v>
      </c>
      <c r="K39" s="2">
        <v>4772</v>
      </c>
      <c r="L39" s="2">
        <v>4233</v>
      </c>
      <c r="M39" s="2">
        <v>4544.0770000000002</v>
      </c>
      <c r="N39" s="2">
        <v>4982.75</v>
      </c>
    </row>
    <row r="40" spans="1:14" x14ac:dyDescent="0.35">
      <c r="A40" s="1" t="s">
        <v>111</v>
      </c>
      <c r="B40" s="1" t="s">
        <v>112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/>
      <c r="N40" s="2"/>
    </row>
    <row r="41" spans="1:14" x14ac:dyDescent="0.35">
      <c r="A41" s="1" t="s">
        <v>113</v>
      </c>
      <c r="B41" s="1" t="s">
        <v>114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/>
      <c r="N41" s="2"/>
    </row>
    <row r="42" spans="1:14" x14ac:dyDescent="0.35">
      <c r="A42" s="1" t="s">
        <v>115</v>
      </c>
      <c r="B42" s="1" t="s">
        <v>116</v>
      </c>
      <c r="C42" s="2">
        <v>1855</v>
      </c>
      <c r="D42" s="2">
        <v>2338</v>
      </c>
      <c r="E42" s="2">
        <v>1890</v>
      </c>
      <c r="F42" s="2">
        <v>2780</v>
      </c>
      <c r="G42" s="2">
        <v>3292</v>
      </c>
      <c r="H42" s="2">
        <v>3943</v>
      </c>
      <c r="I42" s="2">
        <v>4388</v>
      </c>
      <c r="J42" s="2">
        <v>5180</v>
      </c>
      <c r="K42" s="2">
        <v>4772</v>
      </c>
      <c r="L42" s="2">
        <v>4233</v>
      </c>
      <c r="M42" s="2">
        <v>4544.0770000000002</v>
      </c>
      <c r="N42" s="2">
        <v>4982.75</v>
      </c>
    </row>
    <row r="43" spans="1:14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35">
      <c r="A44" s="1" t="s">
        <v>117</v>
      </c>
      <c r="B44" s="1" t="s">
        <v>116</v>
      </c>
      <c r="C44" s="2">
        <v>1855</v>
      </c>
      <c r="D44" s="2">
        <v>2338</v>
      </c>
      <c r="E44" s="2">
        <v>1784.7</v>
      </c>
      <c r="F44" s="2">
        <v>2806.65</v>
      </c>
      <c r="G44" s="2">
        <v>3267.3</v>
      </c>
      <c r="H44" s="2">
        <v>3928.05</v>
      </c>
      <c r="I44" s="2">
        <v>4367.8500000000004</v>
      </c>
      <c r="J44" s="2">
        <v>5126.05</v>
      </c>
      <c r="K44" s="2">
        <v>4678.3999999999996</v>
      </c>
      <c r="L44" s="2">
        <v>4233</v>
      </c>
      <c r="M44" s="2">
        <v>4534.0429999999997</v>
      </c>
      <c r="N44" s="2">
        <v>4930.9549999999999</v>
      </c>
    </row>
    <row r="45" spans="1:14" x14ac:dyDescent="0.35">
      <c r="A45" s="1" t="s">
        <v>118</v>
      </c>
      <c r="B45" s="1" t="s">
        <v>119</v>
      </c>
      <c r="C45" s="2" t="s">
        <v>47</v>
      </c>
      <c r="D45" s="2" t="s">
        <v>47</v>
      </c>
      <c r="E45" s="2">
        <v>-105.3</v>
      </c>
      <c r="F45" s="2">
        <v>26.65</v>
      </c>
      <c r="G45" s="2">
        <v>-24.7</v>
      </c>
      <c r="H45" s="2">
        <v>-14.95</v>
      </c>
      <c r="I45" s="2">
        <v>-20.149999999999999</v>
      </c>
      <c r="J45" s="2">
        <v>-53.95</v>
      </c>
      <c r="K45" s="2">
        <v>-93.6</v>
      </c>
      <c r="L45" s="2">
        <v>0</v>
      </c>
      <c r="M45" s="2"/>
      <c r="N45" s="2"/>
    </row>
    <row r="46" spans="1:14" x14ac:dyDescent="0.35">
      <c r="A46" s="1" t="s">
        <v>99</v>
      </c>
      <c r="B46" s="1" t="s">
        <v>100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/>
      <c r="N46" s="2"/>
    </row>
    <row r="47" spans="1:14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35">
      <c r="A48" s="1" t="s">
        <v>120</v>
      </c>
      <c r="B48" s="1" t="s">
        <v>121</v>
      </c>
      <c r="C48" s="2">
        <v>1063.8</v>
      </c>
      <c r="D48" s="2">
        <v>1021.2</v>
      </c>
      <c r="E48" s="2">
        <v>1006</v>
      </c>
      <c r="F48" s="2">
        <v>996.4</v>
      </c>
      <c r="G48" s="2">
        <v>971.4</v>
      </c>
      <c r="H48" s="2">
        <v>946.2</v>
      </c>
      <c r="I48" s="2">
        <v>926.6</v>
      </c>
      <c r="J48" s="2">
        <v>897.1</v>
      </c>
      <c r="K48" s="2">
        <v>866.2</v>
      </c>
      <c r="L48" s="2">
        <v>832.4</v>
      </c>
      <c r="M48" s="2"/>
      <c r="N48" s="2"/>
    </row>
    <row r="49" spans="1:14" x14ac:dyDescent="0.35">
      <c r="A49" s="1" t="s">
        <v>122</v>
      </c>
      <c r="B49" s="1" t="s">
        <v>123</v>
      </c>
      <c r="C49" s="4">
        <v>1.7450000000000001</v>
      </c>
      <c r="D49" s="4">
        <v>2.29</v>
      </c>
      <c r="E49" s="4">
        <v>1.88</v>
      </c>
      <c r="F49" s="4">
        <v>2.79</v>
      </c>
      <c r="G49" s="4">
        <v>3.39</v>
      </c>
      <c r="H49" s="4">
        <v>4.165</v>
      </c>
      <c r="I49" s="4">
        <v>4.7350000000000003</v>
      </c>
      <c r="J49" s="4">
        <v>5.77</v>
      </c>
      <c r="K49" s="4">
        <v>5.51</v>
      </c>
      <c r="L49" s="4">
        <v>5.09</v>
      </c>
      <c r="M49" s="4">
        <v>5.6319999999999997</v>
      </c>
      <c r="N49" s="4">
        <v>6.3140000000000001</v>
      </c>
    </row>
    <row r="50" spans="1:14" x14ac:dyDescent="0.35">
      <c r="A50" s="1" t="s">
        <v>124</v>
      </c>
      <c r="B50" s="1" t="s">
        <v>125</v>
      </c>
      <c r="C50" s="4">
        <v>1.7450000000000001</v>
      </c>
      <c r="D50" s="4">
        <v>2.29</v>
      </c>
      <c r="E50" s="4">
        <v>1.88</v>
      </c>
      <c r="F50" s="4">
        <v>2.79</v>
      </c>
      <c r="G50" s="4">
        <v>3.39</v>
      </c>
      <c r="H50" s="4">
        <v>4.165</v>
      </c>
      <c r="I50" s="4">
        <v>4.7350000000000003</v>
      </c>
      <c r="J50" s="4">
        <v>5.77</v>
      </c>
      <c r="K50" s="4">
        <v>5.51</v>
      </c>
      <c r="L50" s="4">
        <v>5.09</v>
      </c>
      <c r="M50" s="4">
        <v>5.6319999999999997</v>
      </c>
      <c r="N50" s="4">
        <v>6.3140000000000001</v>
      </c>
    </row>
    <row r="51" spans="1:14" x14ac:dyDescent="0.35">
      <c r="A51" s="1" t="s">
        <v>126</v>
      </c>
      <c r="B51" s="1" t="s">
        <v>127</v>
      </c>
      <c r="C51" s="4">
        <v>1.7450000000000001</v>
      </c>
      <c r="D51" s="4">
        <v>2.29</v>
      </c>
      <c r="E51" s="4">
        <v>1.7741</v>
      </c>
      <c r="F51" s="4">
        <v>2.8167999999999997</v>
      </c>
      <c r="G51" s="4">
        <v>3.3635000000000002</v>
      </c>
      <c r="H51" s="4">
        <v>4.1513999999999998</v>
      </c>
      <c r="I51" s="4">
        <v>4.7138</v>
      </c>
      <c r="J51" s="4">
        <v>5.7140000000000004</v>
      </c>
      <c r="K51" s="4">
        <v>5.4010999999999996</v>
      </c>
      <c r="L51" s="4">
        <v>5.09</v>
      </c>
      <c r="M51" s="4">
        <v>5.6349999999999998</v>
      </c>
      <c r="N51" s="4">
        <v>6.3390000000000004</v>
      </c>
    </row>
    <row r="52" spans="1:14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35">
      <c r="A53" s="1" t="s">
        <v>128</v>
      </c>
      <c r="B53" s="1" t="s">
        <v>129</v>
      </c>
      <c r="C53" s="2">
        <v>1073.5999999999999</v>
      </c>
      <c r="D53" s="2">
        <v>1030</v>
      </c>
      <c r="E53" s="2">
        <v>1011.6</v>
      </c>
      <c r="F53" s="2">
        <v>1005.8</v>
      </c>
      <c r="G53" s="2">
        <v>979.6</v>
      </c>
      <c r="H53" s="2">
        <v>953</v>
      </c>
      <c r="I53" s="2">
        <v>931.6</v>
      </c>
      <c r="J53" s="2">
        <v>901.1</v>
      </c>
      <c r="K53" s="2">
        <v>869.4</v>
      </c>
      <c r="L53" s="2">
        <v>835.4</v>
      </c>
      <c r="M53" s="2"/>
      <c r="N53" s="2"/>
    </row>
    <row r="54" spans="1:14" x14ac:dyDescent="0.35">
      <c r="A54" s="1" t="s">
        <v>130</v>
      </c>
      <c r="B54" s="1" t="s">
        <v>131</v>
      </c>
      <c r="C54" s="4">
        <v>1.73</v>
      </c>
      <c r="D54" s="4">
        <v>2.27</v>
      </c>
      <c r="E54" s="4">
        <v>1.87</v>
      </c>
      <c r="F54" s="4">
        <v>2.7650000000000001</v>
      </c>
      <c r="G54" s="4">
        <v>3.36</v>
      </c>
      <c r="H54" s="4">
        <v>4.1349999999999998</v>
      </c>
      <c r="I54" s="4">
        <v>4.71</v>
      </c>
      <c r="J54" s="4">
        <v>5.75</v>
      </c>
      <c r="K54" s="4">
        <v>5.49</v>
      </c>
      <c r="L54" s="4">
        <v>5.07</v>
      </c>
      <c r="M54" s="4">
        <v>5.6319999999999997</v>
      </c>
      <c r="N54" s="4">
        <v>6.3140000000000001</v>
      </c>
    </row>
    <row r="55" spans="1:14" x14ac:dyDescent="0.35">
      <c r="A55" s="1" t="s">
        <v>132</v>
      </c>
      <c r="B55" s="1" t="s">
        <v>133</v>
      </c>
      <c r="C55" s="4">
        <v>1.73</v>
      </c>
      <c r="D55" s="4">
        <v>2.27</v>
      </c>
      <c r="E55" s="4">
        <v>1.87</v>
      </c>
      <c r="F55" s="4">
        <v>2.7650000000000001</v>
      </c>
      <c r="G55" s="4">
        <v>3.36</v>
      </c>
      <c r="H55" s="4">
        <v>4.1349999999999998</v>
      </c>
      <c r="I55" s="4">
        <v>4.71</v>
      </c>
      <c r="J55" s="4">
        <v>5.75</v>
      </c>
      <c r="K55" s="4">
        <v>5.49</v>
      </c>
      <c r="L55" s="4">
        <v>5.07</v>
      </c>
      <c r="M55" s="4">
        <v>5.6319999999999997</v>
      </c>
      <c r="N55" s="4">
        <v>6.3140000000000001</v>
      </c>
    </row>
    <row r="56" spans="1:14" x14ac:dyDescent="0.35">
      <c r="A56" s="1" t="s">
        <v>134</v>
      </c>
      <c r="B56" s="1" t="s">
        <v>135</v>
      </c>
      <c r="C56" s="4">
        <v>1.73</v>
      </c>
      <c r="D56" s="4">
        <v>2.27</v>
      </c>
      <c r="E56" s="4">
        <v>1.7659</v>
      </c>
      <c r="F56" s="4">
        <v>2.7915000000000001</v>
      </c>
      <c r="G56" s="4">
        <v>3.3348</v>
      </c>
      <c r="H56" s="4">
        <v>4.1193</v>
      </c>
      <c r="I56" s="4">
        <v>4.6883999999999997</v>
      </c>
      <c r="J56" s="4">
        <v>5.6901000000000002</v>
      </c>
      <c r="K56" s="4">
        <v>5.3822999999999999</v>
      </c>
      <c r="L56" s="4">
        <v>5.07</v>
      </c>
      <c r="M56" s="4">
        <v>5.6349999999999998</v>
      </c>
      <c r="N56" s="4">
        <v>6.3390000000000004</v>
      </c>
    </row>
    <row r="57" spans="1:14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35">
      <c r="A58" s="1" t="s">
        <v>136</v>
      </c>
      <c r="B58" s="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22" sqref="A22"/>
    </sheetView>
  </sheetViews>
  <sheetFormatPr defaultColWidth="9.23046875" defaultRowHeight="14.25" x14ac:dyDescent="0.45"/>
  <cols>
    <col min="1" max="1" width="27.23046875" style="19" customWidth="1"/>
    <col min="2" max="2" width="0" style="19" hidden="1" customWidth="1"/>
    <col min="3" max="14" width="13.61328125" style="19" customWidth="1"/>
    <col min="15" max="16384" width="9.23046875" style="19"/>
  </cols>
  <sheetData>
    <row r="1" spans="1:14" x14ac:dyDescent="0.4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65" x14ac:dyDescent="0.45">
      <c r="A2" s="20" t="s">
        <v>158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4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45">
      <c r="A4" s="22" t="s">
        <v>159</v>
      </c>
      <c r="B4" s="22"/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3" t="s">
        <v>5</v>
      </c>
      <c r="I4" s="23" t="s">
        <v>6</v>
      </c>
      <c r="J4" s="23" t="s">
        <v>7</v>
      </c>
      <c r="K4" s="23" t="s">
        <v>8</v>
      </c>
      <c r="L4" s="23" t="s">
        <v>9</v>
      </c>
      <c r="M4" s="23" t="s">
        <v>29</v>
      </c>
      <c r="N4" s="23" t="s">
        <v>30</v>
      </c>
    </row>
    <row r="5" spans="1:14" x14ac:dyDescent="0.45">
      <c r="A5" s="24" t="s">
        <v>31</v>
      </c>
      <c r="B5" s="24"/>
      <c r="C5" s="25" t="s">
        <v>32</v>
      </c>
      <c r="D5" s="25" t="s">
        <v>33</v>
      </c>
      <c r="E5" s="25" t="s">
        <v>34</v>
      </c>
      <c r="F5" s="25" t="s">
        <v>35</v>
      </c>
      <c r="G5" s="25" t="s">
        <v>36</v>
      </c>
      <c r="H5" s="25" t="s">
        <v>37</v>
      </c>
      <c r="I5" s="25" t="s">
        <v>38</v>
      </c>
      <c r="J5" s="25" t="s">
        <v>39</v>
      </c>
      <c r="K5" s="25" t="s">
        <v>40</v>
      </c>
      <c r="L5" s="25" t="s">
        <v>41</v>
      </c>
      <c r="M5" s="25" t="s">
        <v>42</v>
      </c>
      <c r="N5" s="25" t="s">
        <v>43</v>
      </c>
    </row>
    <row r="6" spans="1:14" x14ac:dyDescent="0.45">
      <c r="A6" s="26" t="s">
        <v>160</v>
      </c>
      <c r="B6" s="26" t="s">
        <v>161</v>
      </c>
      <c r="C6" s="27">
        <f>_xll.BDH("UNP US Equity","HISTORICAL_MARKET_CAP","FY 2007","FY 2007","Currency=USD","Period=FY","BEST_FPERIOD_OVERRIDE=FY","FILING_STATUS=MR","SCALING_FORMAT=MLN","Sort=A","Dates=H","DateFormat=P","Fill=—","Direction=H","UseDPDF=Y")</f>
        <v>32770.445099999997</v>
      </c>
      <c r="D6" s="27">
        <f>_xll.BDH("UNP US Equity","HISTORICAL_MARKET_CAP","FY 2008","FY 2008","Currency=USD","Period=FY","BEST_FPERIOD_OVERRIDE=FY","FILING_STATUS=MR","SCALING_FORMAT=MLN","Sort=A","Dates=H","DateFormat=P","Fill=—","Direction=H","UseDPDF=Y")</f>
        <v>24054.188699999999</v>
      </c>
      <c r="E6" s="27">
        <f>_xll.BDH("UNP US Equity","HISTORICAL_MARKET_CAP","FY 2009","FY 2009","Currency=USD","Period=FY","BEST_FPERIOD_OVERRIDE=FY","FILING_STATUS=MR","SCALING_FORMAT=MLN","Sort=A","Dates=H","DateFormat=P","Fill=—","Direction=H","UseDPDF=Y")</f>
        <v>32272.052899999999</v>
      </c>
      <c r="F6" s="27">
        <f>_xll.BDH("UNP US Equity","HISTORICAL_MARKET_CAP","FY 2010","FY 2010","Currency=USD","Period=FY","BEST_FPERIOD_OVERRIDE=FY","FILING_STATUS=MR","SCALING_FORMAT=MLN","Sort=A","Dates=H","DateFormat=P","Fill=—","Direction=H","UseDPDF=Y")</f>
        <v>45548.494400000003</v>
      </c>
      <c r="G6" s="27">
        <f>_xll.BDH("UNP US Equity","HISTORICAL_MARKET_CAP","FY 2011","FY 2011","Currency=USD","Period=FY","BEST_FPERIOD_OVERRIDE=FY","FILING_STATUS=MR","SCALING_FORMAT=MLN","Sort=A","Dates=H","DateFormat=P","Fill=—","Direction=H","UseDPDF=Y")</f>
        <v>50843.734400000001</v>
      </c>
      <c r="H6" s="27">
        <f>_xll.BDH("UNP US Equity","HISTORICAL_MARKET_CAP","FY 2012","FY 2012","Currency=USD","Period=FY","BEST_FPERIOD_OVERRIDE=FY","FILING_STATUS=MR","SCALING_FORMAT=MLN","Sort=A","Dates=H","DateFormat=P","Fill=—","Direction=H","UseDPDF=Y")</f>
        <v>59021.174099999997</v>
      </c>
      <c r="I6" s="27">
        <f>_xll.BDH("UNP US Equity","HISTORICAL_MARKET_CAP","FY 2013","FY 2013","Currency=USD","Period=FY","BEST_FPERIOD_OVERRIDE=FY","FILING_STATUS=MR","SCALING_FORMAT=MLN","Sort=A","Dates=H","DateFormat=P","Fill=—","Direction=H","UseDPDF=Y")</f>
        <v>76608.167700000005</v>
      </c>
      <c r="J6" s="27">
        <f>_xll.BDH("UNP US Equity","HISTORICAL_MARKET_CAP","FY 2014","FY 2014","Currency=USD","Period=FY","BEST_FPERIOD_OVERRIDE=FY","FILING_STATUS=MR","SCALING_FORMAT=MLN","Sort=A","Dates=H","DateFormat=P","Fill=—","Direction=H","UseDPDF=Y")</f>
        <v>105235.4483</v>
      </c>
      <c r="K6" s="27">
        <f>_xll.BDH("UNP US Equity","HISTORICAL_MARKET_CAP","FY 2015","FY 2015","Currency=USD","Period=FY","BEST_FPERIOD_OVERRIDE=FY","FILING_STATUS=MR","SCALING_FORMAT=MLN","Sort=A","Dates=H","DateFormat=P","Fill=—","Direction=H","UseDPDF=Y")</f>
        <v>66408.334300000002</v>
      </c>
      <c r="L6" s="27">
        <f>_xll.BDH("UNP US Equity","HISTORICAL_MARKET_CAP","FY 2016","FY 2016","Currency=USD","Period=FY","BEST_FPERIOD_OVERRIDE=FY","FILING_STATUS=MR","SCALING_FORMAT=MLN","Sort=A","Dates=H","DateFormat=P","Fill=—","Direction=H","UseDPDF=Y")</f>
        <v>84584.675099999993</v>
      </c>
      <c r="M6" s="27"/>
      <c r="N6" s="27"/>
    </row>
    <row r="7" spans="1:14" x14ac:dyDescent="0.45">
      <c r="A7" s="28" t="s">
        <v>162</v>
      </c>
      <c r="B7" s="28" t="s">
        <v>163</v>
      </c>
      <c r="C7" s="29">
        <f>_xll.BDH("UNP US Equity","CASH_AND_MARKETABLE_SECURITIES","FY 2007","FY 2007","Currency=USD","Period=FY","BEST_FPERIOD_OVERRIDE=FY","FILING_STATUS=MR","SCALING_FORMAT=MLN","Sort=A","Dates=H","DateFormat=P","Fill=—","Direction=H","UseDPDF=Y")</f>
        <v>878</v>
      </c>
      <c r="D7" s="29">
        <f>_xll.BDH("UNP US Equity","CASH_AND_MARKETABLE_SECURITIES","FY 2008","FY 2008","Currency=USD","Period=FY","BEST_FPERIOD_OVERRIDE=FY","FILING_STATUS=MR","SCALING_FORMAT=MLN","Sort=A","Dates=H","DateFormat=P","Fill=—","Direction=H","UseDPDF=Y")</f>
        <v>1249</v>
      </c>
      <c r="E7" s="29">
        <f>_xll.BDH("UNP US Equity","CASH_AND_MARKETABLE_SECURITIES","FY 2009","FY 2009","Currency=USD","Period=FY","BEST_FPERIOD_OVERRIDE=FY","FILING_STATUS=MR","SCALING_FORMAT=MLN","Sort=A","Dates=H","DateFormat=P","Fill=—","Direction=H","UseDPDF=Y")</f>
        <v>1850</v>
      </c>
      <c r="F7" s="29">
        <f>_xll.BDH("UNP US Equity","CASH_AND_MARKETABLE_SECURITIES","FY 2010","FY 2010","Currency=USD","Period=FY","BEST_FPERIOD_OVERRIDE=FY","FILING_STATUS=MR","SCALING_FORMAT=MLN","Sort=A","Dates=H","DateFormat=P","Fill=—","Direction=H","UseDPDF=Y")</f>
        <v>1086</v>
      </c>
      <c r="G7" s="29">
        <f>_xll.BDH("UNP US Equity","CASH_AND_MARKETABLE_SECURITIES","FY 2011","FY 2011","Currency=USD","Period=FY","BEST_FPERIOD_OVERRIDE=FY","FILING_STATUS=MR","SCALING_FORMAT=MLN","Sort=A","Dates=H","DateFormat=P","Fill=—","Direction=H","UseDPDF=Y")</f>
        <v>1217</v>
      </c>
      <c r="H7" s="29">
        <f>_xll.BDH("UNP US Equity","CASH_AND_MARKETABLE_SECURITIES","FY 2012","FY 2012","Currency=USD","Period=FY","BEST_FPERIOD_OVERRIDE=FY","FILING_STATUS=MR","SCALING_FORMAT=MLN","Sort=A","Dates=H","DateFormat=P","Fill=—","Direction=H","UseDPDF=Y")</f>
        <v>1063</v>
      </c>
      <c r="I7" s="29">
        <f>_xll.BDH("UNP US Equity","CASH_AND_MARKETABLE_SECURITIES","FY 2013","FY 2013","Currency=USD","Period=FY","BEST_FPERIOD_OVERRIDE=FY","FILING_STATUS=MR","SCALING_FORMAT=MLN","Sort=A","Dates=H","DateFormat=P","Fill=—","Direction=H","UseDPDF=Y")</f>
        <v>1432</v>
      </c>
      <c r="J7" s="29">
        <f>_xll.BDH("UNP US Equity","CASH_AND_MARKETABLE_SECURITIES","FY 2014","FY 2014","Currency=USD","Period=FY","BEST_FPERIOD_OVERRIDE=FY","FILING_STATUS=MR","SCALING_FORMAT=MLN","Sort=A","Dates=H","DateFormat=P","Fill=—","Direction=H","UseDPDF=Y")</f>
        <v>1586</v>
      </c>
      <c r="K7" s="29">
        <f>_xll.BDH("UNP US Equity","CASH_AND_MARKETABLE_SECURITIES","FY 2015","FY 2015","Currency=USD","Period=FY","BEST_FPERIOD_OVERRIDE=FY","FILING_STATUS=MR","SCALING_FORMAT=MLN","Sort=A","Dates=H","DateFormat=P","Fill=—","Direction=H","UseDPDF=Y")</f>
        <v>1391</v>
      </c>
      <c r="L7" s="29">
        <f>_xll.BDH("UNP US Equity","CASH_AND_MARKETABLE_SECURITIES","FY 2016","FY 2016","Currency=USD","Period=FY","BEST_FPERIOD_OVERRIDE=FY","FILING_STATUS=MR","SCALING_FORMAT=MLN","Sort=A","Dates=H","DateFormat=P","Fill=—","Direction=H","UseDPDF=Y")</f>
        <v>1337</v>
      </c>
      <c r="M7" s="29"/>
      <c r="N7" s="29"/>
    </row>
    <row r="8" spans="1:14" x14ac:dyDescent="0.45">
      <c r="A8" s="28" t="s">
        <v>164</v>
      </c>
      <c r="B8" s="28" t="s">
        <v>165</v>
      </c>
      <c r="C8" s="29">
        <f>_xll.BDH("UNP US Equity","PREFERRED_EQUITY_&amp;_MINORITY_INT","FY 2007","FY 2007","Currency=USD","Period=FY","BEST_FPERIOD_OVERRIDE=FY","FILING_STATUS=MR","SCALING_FORMAT=MLN","Sort=A","Dates=H","DateFormat=P","Fill=—","Direction=H","UseDPDF=Y")</f>
        <v>0</v>
      </c>
      <c r="D8" s="29">
        <f>_xll.BDH("UNP US Equity","PREFERRED_EQUITY_&amp;_MINORITY_INT","FY 2008","FY 2008","Currency=USD","Period=FY","BEST_FPERIOD_OVERRIDE=FY","FILING_STATUS=MR","SCALING_FORMAT=MLN","Sort=A","Dates=H","DateFormat=P","Fill=—","Direction=H","UseDPDF=Y")</f>
        <v>0</v>
      </c>
      <c r="E8" s="29">
        <f>_xll.BDH("UNP US Equity","PREFERRED_EQUITY_&amp;_MINORITY_INT","FY 2009","FY 2009","Currency=USD","Period=FY","BEST_FPERIOD_OVERRIDE=FY","FILING_STATUS=MR","SCALING_FORMAT=MLN","Sort=A","Dates=H","DateFormat=P","Fill=—","Direction=H","UseDPDF=Y")</f>
        <v>0</v>
      </c>
      <c r="F8" s="29">
        <f>_xll.BDH("UNP US Equity","PREFERRED_EQUITY_&amp;_MINORITY_INT","FY 2010","FY 2010","Currency=USD","Period=FY","BEST_FPERIOD_OVERRIDE=FY","FILING_STATUS=MR","SCALING_FORMAT=MLN","Sort=A","Dates=H","DateFormat=P","Fill=—","Direction=H","UseDPDF=Y")</f>
        <v>0</v>
      </c>
      <c r="G8" s="29">
        <f>_xll.BDH("UNP US Equity","PREFERRED_EQUITY_&amp;_MINORITY_INT","FY 2011","FY 2011","Currency=USD","Period=FY","BEST_FPERIOD_OVERRIDE=FY","FILING_STATUS=MR","SCALING_FORMAT=MLN","Sort=A","Dates=H","DateFormat=P","Fill=—","Direction=H","UseDPDF=Y")</f>
        <v>0</v>
      </c>
      <c r="H8" s="29">
        <f>_xll.BDH("UNP US Equity","PREFERRED_EQUITY_&amp;_MINORITY_INT","FY 2012","FY 2012","Currency=USD","Period=FY","BEST_FPERIOD_OVERRIDE=FY","FILING_STATUS=MR","SCALING_FORMAT=MLN","Sort=A","Dates=H","DateFormat=P","Fill=—","Direction=H","UseDPDF=Y")</f>
        <v>0</v>
      </c>
      <c r="I8" s="29">
        <f>_xll.BDH("UNP US Equity","PREFERRED_EQUITY_&amp;_MINORITY_INT","FY 2013","FY 2013","Currency=USD","Period=FY","BEST_FPERIOD_OVERRIDE=FY","FILING_STATUS=MR","SCALING_FORMAT=MLN","Sort=A","Dates=H","DateFormat=P","Fill=—","Direction=H","UseDPDF=Y")</f>
        <v>0</v>
      </c>
      <c r="J8" s="29">
        <f>_xll.BDH("UNP US Equity","PREFERRED_EQUITY_&amp;_MINORITY_INT","FY 2014","FY 2014","Currency=USD","Period=FY","BEST_FPERIOD_OVERRIDE=FY","FILING_STATUS=MR","SCALING_FORMAT=MLN","Sort=A","Dates=H","DateFormat=P","Fill=—","Direction=H","UseDPDF=Y")</f>
        <v>0</v>
      </c>
      <c r="K8" s="29">
        <f>_xll.BDH("UNP US Equity","PREFERRED_EQUITY_&amp;_MINORITY_INT","FY 2015","FY 2015","Currency=USD","Period=FY","BEST_FPERIOD_OVERRIDE=FY","FILING_STATUS=MR","SCALING_FORMAT=MLN","Sort=A","Dates=H","DateFormat=P","Fill=—","Direction=H","UseDPDF=Y")</f>
        <v>0</v>
      </c>
      <c r="L8" s="29">
        <f>_xll.BDH("UNP US Equity","PREFERRED_EQUITY_&amp;_MINORITY_INT","FY 2016","FY 2016","Currency=USD","Period=FY","BEST_FPERIOD_OVERRIDE=FY","FILING_STATUS=MR","SCALING_FORMAT=MLN","Sort=A","Dates=H","DateFormat=P","Fill=—","Direction=H","UseDPDF=Y")</f>
        <v>0</v>
      </c>
      <c r="M8" s="29"/>
      <c r="N8" s="29"/>
    </row>
    <row r="9" spans="1:14" x14ac:dyDescent="0.45">
      <c r="A9" s="28" t="s">
        <v>166</v>
      </c>
      <c r="B9" s="28" t="s">
        <v>167</v>
      </c>
      <c r="C9" s="29">
        <f>_xll.BDH("UNP US Equity","SHORT_AND_LONG_TERM_DEBT","FY 2007","FY 2007","Currency=USD","Period=FY","BEST_FPERIOD_OVERRIDE=FY","FILING_STATUS=MR","SCALING_FORMAT=MLN","Sort=A","Dates=H","DateFormat=P","Fill=—","Direction=H","UseDPDF=Y")</f>
        <v>7682</v>
      </c>
      <c r="D9" s="29">
        <f>_xll.BDH("UNP US Equity","SHORT_AND_LONG_TERM_DEBT","FY 2008","FY 2008","Currency=USD","Period=FY","BEST_FPERIOD_OVERRIDE=FY","FILING_STATUS=MR","SCALING_FORMAT=MLN","Sort=A","Dates=H","DateFormat=P","Fill=—","Direction=H","UseDPDF=Y")</f>
        <v>8927</v>
      </c>
      <c r="E9" s="29">
        <f>_xll.BDH("UNP US Equity","SHORT_AND_LONG_TERM_DEBT","FY 2009","FY 2009","Currency=USD","Period=FY","BEST_FPERIOD_OVERRIDE=FY","FILING_STATUS=MR","SCALING_FORMAT=MLN","Sort=A","Dates=H","DateFormat=P","Fill=—","Direction=H","UseDPDF=Y")</f>
        <v>9848</v>
      </c>
      <c r="F9" s="29">
        <f>_xll.BDH("UNP US Equity","SHORT_AND_LONG_TERM_DEBT","FY 2010","FY 2010","Currency=USD","Period=FY","BEST_FPERIOD_OVERRIDE=FY","FILING_STATUS=MR","SCALING_FORMAT=MLN","Sort=A","Dates=H","DateFormat=P","Fill=—","Direction=H","UseDPDF=Y")</f>
        <v>9242</v>
      </c>
      <c r="G9" s="29">
        <f>_xll.BDH("UNP US Equity","SHORT_AND_LONG_TERM_DEBT","FY 2011","FY 2011","Currency=USD","Period=FY","BEST_FPERIOD_OVERRIDE=FY","FILING_STATUS=MR","SCALING_FORMAT=MLN","Sort=A","Dates=H","DateFormat=P","Fill=—","Direction=H","UseDPDF=Y")</f>
        <v>8906</v>
      </c>
      <c r="H9" s="29">
        <f>_xll.BDH("UNP US Equity","SHORT_AND_LONG_TERM_DEBT","FY 2012","FY 2012","Currency=USD","Period=FY","BEST_FPERIOD_OVERRIDE=FY","FILING_STATUS=MR","SCALING_FORMAT=MLN","Sort=A","Dates=H","DateFormat=P","Fill=—","Direction=H","UseDPDF=Y")</f>
        <v>8997</v>
      </c>
      <c r="I9" s="29">
        <f>_xll.BDH("UNP US Equity","SHORT_AND_LONG_TERM_DEBT","FY 2013","FY 2013","Currency=USD","Period=FY","BEST_FPERIOD_OVERRIDE=FY","FILING_STATUS=MR","SCALING_FORMAT=MLN","Sort=A","Dates=H","DateFormat=P","Fill=—","Direction=H","UseDPDF=Y")</f>
        <v>9577</v>
      </c>
      <c r="J9" s="29">
        <f>_xll.BDH("UNP US Equity","SHORT_AND_LONG_TERM_DEBT","FY 2014","FY 2014","Currency=USD","Period=FY","BEST_FPERIOD_OVERRIDE=FY","FILING_STATUS=MR","SCALING_FORMAT=MLN","Sort=A","Dates=H","DateFormat=P","Fill=—","Direction=H","UseDPDF=Y")</f>
        <v>11413</v>
      </c>
      <c r="K9" s="29">
        <f>_xll.BDH("UNP US Equity","SHORT_AND_LONG_TERM_DEBT","FY 2015","FY 2015","Currency=USD","Period=FY","BEST_FPERIOD_OVERRIDE=FY","FILING_STATUS=MR","SCALING_FORMAT=MLN","Sort=A","Dates=H","DateFormat=P","Fill=—","Direction=H","UseDPDF=Y")</f>
        <v>14201</v>
      </c>
      <c r="L9" s="29">
        <f>_xll.BDH("UNP US Equity","SHORT_AND_LONG_TERM_DEBT","FY 2016","FY 2016","Currency=USD","Period=FY","BEST_FPERIOD_OVERRIDE=FY","FILING_STATUS=MR","SCALING_FORMAT=MLN","Sort=A","Dates=H","DateFormat=P","Fill=—","Direction=H","UseDPDF=Y")</f>
        <v>15007</v>
      </c>
      <c r="M9" s="29"/>
      <c r="N9" s="29"/>
    </row>
    <row r="10" spans="1:14" x14ac:dyDescent="0.45">
      <c r="A10" s="26" t="s">
        <v>168</v>
      </c>
      <c r="B10" s="26" t="s">
        <v>169</v>
      </c>
      <c r="C10" s="27">
        <f>_xll.BDH("UNP US Equity","ENTERPRISE_VALUE","FY 2007","FY 2007","Currency=USD","Period=FY","BEST_FPERIOD_OVERRIDE=FY","FILING_STATUS=MR","SCALING_FORMAT=MLN","Sort=A","Dates=H","DateFormat=P","Fill=—","Direction=H","UseDPDF=Y")</f>
        <v>39574.445099999997</v>
      </c>
      <c r="D10" s="27">
        <f>_xll.BDH("UNP US Equity","ENTERPRISE_VALUE","FY 2008","FY 2008","Currency=USD","Period=FY","BEST_FPERIOD_OVERRIDE=FY","FILING_STATUS=MR","SCALING_FORMAT=MLN","Sort=A","Dates=H","DateFormat=P","Fill=—","Direction=H","UseDPDF=Y")</f>
        <v>31732.188699999999</v>
      </c>
      <c r="E10" s="27">
        <f>_xll.BDH("UNP US Equity","ENTERPRISE_VALUE","FY 2009","FY 2009","Currency=USD","Period=FY","BEST_FPERIOD_OVERRIDE=FY","FILING_STATUS=MR","SCALING_FORMAT=MLN","Sort=A","Dates=H","DateFormat=P","Fill=—","Direction=H","UseDPDF=Y")</f>
        <v>40270.052900000002</v>
      </c>
      <c r="F10" s="27">
        <f>_xll.BDH("UNP US Equity","ENTERPRISE_VALUE","FY 2010","FY 2010","Currency=USD","Period=FY","BEST_FPERIOD_OVERRIDE=FY","FILING_STATUS=MR","SCALING_FORMAT=MLN","Sort=A","Dates=H","DateFormat=P","Fill=—","Direction=H","UseDPDF=Y")</f>
        <v>53704.494400000003</v>
      </c>
      <c r="G10" s="27">
        <f>_xll.BDH("UNP US Equity","ENTERPRISE_VALUE","FY 2011","FY 2011","Currency=USD","Period=FY","BEST_FPERIOD_OVERRIDE=FY","FILING_STATUS=MR","SCALING_FORMAT=MLN","Sort=A","Dates=H","DateFormat=P","Fill=—","Direction=H","UseDPDF=Y")</f>
        <v>58532.734400000001</v>
      </c>
      <c r="H10" s="27">
        <f>_xll.BDH("UNP US Equity","ENTERPRISE_VALUE","FY 2012","FY 2012","Currency=USD","Period=FY","BEST_FPERIOD_OVERRIDE=FY","FILING_STATUS=MR","SCALING_FORMAT=MLN","Sort=A","Dates=H","DateFormat=P","Fill=—","Direction=H","UseDPDF=Y")</f>
        <v>66955.174100000004</v>
      </c>
      <c r="I10" s="27">
        <f>_xll.BDH("UNP US Equity","ENTERPRISE_VALUE","FY 2013","FY 2013","Currency=USD","Period=FY","BEST_FPERIOD_OVERRIDE=FY","FILING_STATUS=MR","SCALING_FORMAT=MLN","Sort=A","Dates=H","DateFormat=P","Fill=—","Direction=H","UseDPDF=Y")</f>
        <v>84753.167700000005</v>
      </c>
      <c r="J10" s="27">
        <f>_xll.BDH("UNP US Equity","ENTERPRISE_VALUE","FY 2014","FY 2014","Currency=USD","Period=FY","BEST_FPERIOD_OVERRIDE=FY","FILING_STATUS=MR","SCALING_FORMAT=MLN","Sort=A","Dates=H","DateFormat=P","Fill=—","Direction=H","UseDPDF=Y")</f>
        <v>115062.4483</v>
      </c>
      <c r="K10" s="27">
        <f>_xll.BDH("UNP US Equity","ENTERPRISE_VALUE","FY 2015","FY 2015","Currency=USD","Period=FY","BEST_FPERIOD_OVERRIDE=FY","FILING_STATUS=MR","SCALING_FORMAT=MLN","Sort=A","Dates=H","DateFormat=P","Fill=—","Direction=H","UseDPDF=Y")</f>
        <v>79218.334300000002</v>
      </c>
      <c r="L10" s="27">
        <f>_xll.BDH("UNP US Equity","ENTERPRISE_VALUE","FY 2016","FY 2016","Currency=USD","Period=FY","BEST_FPERIOD_OVERRIDE=FY","FILING_STATUS=MR","SCALING_FORMAT=MLN","Sort=A","Dates=H","DateFormat=P","Fill=—","Direction=H","UseDPDF=Y")</f>
        <v>98254.675099999993</v>
      </c>
      <c r="M10" s="27"/>
      <c r="N10" s="27"/>
    </row>
    <row r="11" spans="1:14" x14ac:dyDescent="0.4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45">
      <c r="A12" s="26" t="s">
        <v>170</v>
      </c>
      <c r="B12" s="26" t="s">
        <v>44</v>
      </c>
      <c r="C12" s="27">
        <f>_xll.BDH("UNP US Equity","SALES_REV_TURN","FY 2007","FY 2007","Currency=USD","Period=FY","BEST_FPERIOD_OVERRIDE=FY","FILING_STATUS=MR","SCALING_FORMAT=MLN","FA_ADJUSTED=Adjusted","Sort=A","Dates=H","DateFormat=P","Fill=—","Direction=H","UseDPDF=Y")</f>
        <v>16283</v>
      </c>
      <c r="D12" s="27">
        <f>_xll.BDH("UNP US Equity","SALES_REV_TURN","FY 2008","FY 2008","Currency=USD","Period=FY","BEST_FPERIOD_OVERRIDE=FY","FILING_STATUS=MR","SCALING_FORMAT=MLN","FA_ADJUSTED=Adjusted","Sort=A","Dates=H","DateFormat=P","Fill=—","Direction=H","UseDPDF=Y")</f>
        <v>17970</v>
      </c>
      <c r="E12" s="27">
        <f>_xll.BDH("UNP US Equity","SALES_REV_TURN","FY 2009","FY 2009","Currency=USD","Period=FY","BEST_FPERIOD_OVERRIDE=FY","FILING_STATUS=MR","SCALING_FORMAT=MLN","FA_ADJUSTED=Adjusted","Sort=A","Dates=H","DateFormat=P","Fill=—","Direction=H","UseDPDF=Y")</f>
        <v>14143</v>
      </c>
      <c r="F12" s="27">
        <f>_xll.BDH("UNP US Equity","SALES_REV_TURN","FY 2010","FY 2010","Currency=USD","Period=FY","BEST_FPERIOD_OVERRIDE=FY","FILING_STATUS=MR","SCALING_FORMAT=MLN","FA_ADJUSTED=Adjusted","Sort=A","Dates=H","DateFormat=P","Fill=—","Direction=H","UseDPDF=Y")</f>
        <v>16965</v>
      </c>
      <c r="G12" s="27">
        <f>_xll.BDH("UNP US Equity","SALES_REV_TURN","FY 2011","FY 2011","Currency=USD","Period=FY","BEST_FPERIOD_OVERRIDE=FY","FILING_STATUS=MR","SCALING_FORMAT=MLN","FA_ADJUSTED=Adjusted","Sort=A","Dates=H","DateFormat=P","Fill=—","Direction=H","UseDPDF=Y")</f>
        <v>19557</v>
      </c>
      <c r="H12" s="27">
        <f>_xll.BDH("UNP US Equity","SALES_REV_TURN","FY 2012","FY 2012","Currency=USD","Period=FY","BEST_FPERIOD_OVERRIDE=FY","FILING_STATUS=MR","SCALING_FORMAT=MLN","FA_ADJUSTED=Adjusted","Sort=A","Dates=H","DateFormat=P","Fill=—","Direction=H","UseDPDF=Y")</f>
        <v>20926</v>
      </c>
      <c r="I12" s="27">
        <f>_xll.BDH("UNP US Equity","SALES_REV_TURN","FY 2013","FY 2013","Currency=USD","Period=FY","BEST_FPERIOD_OVERRIDE=FY","FILING_STATUS=MR","SCALING_FORMAT=MLN","FA_ADJUSTED=Adjusted","Sort=A","Dates=H","DateFormat=P","Fill=—","Direction=H","UseDPDF=Y")</f>
        <v>21963</v>
      </c>
      <c r="J12" s="27">
        <f>_xll.BDH("UNP US Equity","SALES_REV_TURN","FY 2014","FY 2014","Currency=USD","Period=FY","BEST_FPERIOD_OVERRIDE=FY","FILING_STATUS=MR","SCALING_FORMAT=MLN","FA_ADJUSTED=Adjusted","Sort=A","Dates=H","DateFormat=P","Fill=—","Direction=H","UseDPDF=Y")</f>
        <v>23988</v>
      </c>
      <c r="K12" s="27">
        <f>_xll.BDH("UNP US Equity","SALES_REV_TURN","FY 2015","FY 2015","Currency=USD","Period=FY","BEST_FPERIOD_OVERRIDE=FY","FILING_STATUS=MR","SCALING_FORMAT=MLN","FA_ADJUSTED=Adjusted","Sort=A","Dates=H","DateFormat=P","Fill=—","Direction=H","UseDPDF=Y")</f>
        <v>21813</v>
      </c>
      <c r="L12" s="27">
        <f>_xll.BDH("UNP US Equity","SALES_REV_TURN","FY 2016","FY 2016","Currency=USD","Period=FY","BEST_FPERIOD_OVERRIDE=FY","FILING_STATUS=MR","SCALING_FORMAT=MLN","FA_ADJUSTED=Adjusted","Sort=A","Dates=H","DateFormat=P","Fill=—","Direction=H","UseDPDF=Y")</f>
        <v>19941</v>
      </c>
      <c r="M12" s="27">
        <v>20923.481</v>
      </c>
      <c r="N12" s="27">
        <v>22007.808000000001</v>
      </c>
    </row>
    <row r="13" spans="1:14" x14ac:dyDescent="0.45">
      <c r="A13" s="31" t="s">
        <v>171</v>
      </c>
      <c r="B13" s="31" t="s">
        <v>172</v>
      </c>
      <c r="C13" s="32">
        <f>_xll.BDH("UNP US Equity","SALES_GROWTH","FY 2007","FY 2007","Currency=USD","Period=FY","BEST_FPERIOD_OVERRIDE=FY","FILING_STATUS=MR","FA_ADJUSTED=Adjusted","Sort=A","Dates=H","DateFormat=P","Fill=—","Direction=H","UseDPDF=Y")</f>
        <v>4.5255999999999998</v>
      </c>
      <c r="D13" s="32">
        <f>_xll.BDH("UNP US Equity","SALES_GROWTH","FY 2008","FY 2008","Currency=USD","Period=FY","BEST_FPERIOD_OVERRIDE=FY","FILING_STATUS=MR","FA_ADJUSTED=Adjusted","Sort=A","Dates=H","DateFormat=P","Fill=—","Direction=H","UseDPDF=Y")</f>
        <v>10.3605</v>
      </c>
      <c r="E13" s="32">
        <f>_xll.BDH("UNP US Equity","SALES_GROWTH","FY 2009","FY 2009","Currency=USD","Period=FY","BEST_FPERIOD_OVERRIDE=FY","FILING_STATUS=MR","FA_ADJUSTED=Adjusted","Sort=A","Dates=H","DateFormat=P","Fill=—","Direction=H","UseDPDF=Y")</f>
        <v>-21.296600000000002</v>
      </c>
      <c r="F13" s="32">
        <f>_xll.BDH("UNP US Equity","SALES_GROWTH","FY 2010","FY 2010","Currency=USD","Period=FY","BEST_FPERIOD_OVERRIDE=FY","FILING_STATUS=MR","FA_ADJUSTED=Adjusted","Sort=A","Dates=H","DateFormat=P","Fill=—","Direction=H","UseDPDF=Y")</f>
        <v>19.953299999999999</v>
      </c>
      <c r="G13" s="32">
        <f>_xll.BDH("UNP US Equity","SALES_GROWTH","FY 2011","FY 2011","Currency=USD","Period=FY","BEST_FPERIOD_OVERRIDE=FY","FILING_STATUS=MR","FA_ADJUSTED=Adjusted","Sort=A","Dates=H","DateFormat=P","Fill=—","Direction=H","UseDPDF=Y")</f>
        <v>15.278499999999999</v>
      </c>
      <c r="H13" s="32">
        <f>_xll.BDH("UNP US Equity","SALES_GROWTH","FY 2012","FY 2012","Currency=USD","Period=FY","BEST_FPERIOD_OVERRIDE=FY","FILING_STATUS=MR","FA_ADJUSTED=Adjusted","Sort=A","Dates=H","DateFormat=P","Fill=—","Direction=H","UseDPDF=Y")</f>
        <v>7.0000999999999998</v>
      </c>
      <c r="I13" s="32">
        <f>_xll.BDH("UNP US Equity","SALES_GROWTH","FY 2013","FY 2013","Currency=USD","Period=FY","BEST_FPERIOD_OVERRIDE=FY","FILING_STATUS=MR","FA_ADJUSTED=Adjusted","Sort=A","Dates=H","DateFormat=P","Fill=—","Direction=H","UseDPDF=Y")</f>
        <v>4.9556000000000004</v>
      </c>
      <c r="J13" s="32">
        <f>_xll.BDH("UNP US Equity","SALES_GROWTH","FY 2014","FY 2014","Currency=USD","Period=FY","BEST_FPERIOD_OVERRIDE=FY","FILING_STATUS=MR","FA_ADJUSTED=Adjusted","Sort=A","Dates=H","DateFormat=P","Fill=—","Direction=H","UseDPDF=Y")</f>
        <v>9.2201000000000004</v>
      </c>
      <c r="K13" s="32">
        <f>_xll.BDH("UNP US Equity","SALES_GROWTH","FY 2015","FY 2015","Currency=USD","Period=FY","BEST_FPERIOD_OVERRIDE=FY","FILING_STATUS=MR","FA_ADJUSTED=Adjusted","Sort=A","Dates=H","DateFormat=P","Fill=—","Direction=H","UseDPDF=Y")</f>
        <v>-9.0670000000000002</v>
      </c>
      <c r="L13" s="32">
        <f>_xll.BDH("UNP US Equity","SALES_GROWTH","FY 2016","FY 2016","Currency=USD","Period=FY","BEST_FPERIOD_OVERRIDE=FY","FILING_STATUS=MR","FA_ADJUSTED=Adjusted","Sort=A","Dates=H","DateFormat=P","Fill=—","Direction=H","UseDPDF=Y")</f>
        <v>-8.5820000000000007</v>
      </c>
      <c r="M13" s="32">
        <v>4.9269394714407504</v>
      </c>
      <c r="N13" s="32">
        <v>5.1823451365477897</v>
      </c>
    </row>
    <row r="14" spans="1:14" x14ac:dyDescent="0.45">
      <c r="A14" s="26" t="s">
        <v>173</v>
      </c>
      <c r="B14" s="26" t="s">
        <v>51</v>
      </c>
      <c r="C14" s="27" t="str">
        <f>_xll.BDH("UNP US Equity","GROSS_PROFIT","FY 2007","FY 2007","Currency=USD","Period=FY","BEST_FPERIOD_OVERRIDE=FY","FILING_STATUS=MR","SCALING_FORMAT=MLN","FA_ADJUSTED=Adjusted","Sort=A","Dates=H","DateFormat=P","Fill=—","Direction=H","UseDPDF=Y")</f>
        <v>—</v>
      </c>
      <c r="D14" s="27" t="str">
        <f>_xll.BDH("UNP US Equity","GROSS_PROFIT","FY 2008","FY 2008","Currency=USD","Period=FY","BEST_FPERIOD_OVERRIDE=FY","FILING_STATUS=MR","SCALING_FORMAT=MLN","FA_ADJUSTED=Adjusted","Sort=A","Dates=H","DateFormat=P","Fill=—","Direction=H","UseDPDF=Y")</f>
        <v>—</v>
      </c>
      <c r="E14" s="27" t="str">
        <f>_xll.BDH("UNP US Equity","GROSS_PROFIT","FY 2009","FY 2009","Currency=USD","Period=FY","BEST_FPERIOD_OVERRIDE=FY","FILING_STATUS=MR","SCALING_FORMAT=MLN","FA_ADJUSTED=Adjusted","Sort=A","Dates=H","DateFormat=P","Fill=—","Direction=H","UseDPDF=Y")</f>
        <v>—</v>
      </c>
      <c r="F14" s="27" t="str">
        <f>_xll.BDH("UNP US Equity","GROSS_PROFIT","FY 2010","FY 2010","Currency=USD","Period=FY","BEST_FPERIOD_OVERRIDE=FY","FILING_STATUS=MR","SCALING_FORMAT=MLN","FA_ADJUSTED=Adjusted","Sort=A","Dates=H","DateFormat=P","Fill=—","Direction=H","UseDPDF=Y")</f>
        <v>—</v>
      </c>
      <c r="G14" s="27" t="str">
        <f>_xll.BDH("UNP US Equity","GROSS_PROFIT","FY 2011","FY 2011","Currency=USD","Period=FY","BEST_FPERIOD_OVERRIDE=FY","FILING_STATUS=MR","SCALING_FORMAT=MLN","FA_ADJUSTED=Adjusted","Sort=A","Dates=H","DateFormat=P","Fill=—","Direction=H","UseDPDF=Y")</f>
        <v>—</v>
      </c>
      <c r="H14" s="27" t="str">
        <f>_xll.BDH("UNP US Equity","GROSS_PROFIT","FY 2012","FY 2012","Currency=USD","Period=FY","BEST_FPERIOD_OVERRIDE=FY","FILING_STATUS=MR","SCALING_FORMAT=MLN","FA_ADJUSTED=Adjusted","Sort=A","Dates=H","DateFormat=P","Fill=—","Direction=H","UseDPDF=Y")</f>
        <v>—</v>
      </c>
      <c r="I14" s="27" t="str">
        <f>_xll.BDH("UNP US Equity","GROSS_PROFIT","FY 2013","FY 2013","Currency=USD","Period=FY","BEST_FPERIOD_OVERRIDE=FY","FILING_STATUS=MR","SCALING_FORMAT=MLN","FA_ADJUSTED=Adjusted","Sort=A","Dates=H","DateFormat=P","Fill=—","Direction=H","UseDPDF=Y")</f>
        <v>—</v>
      </c>
      <c r="J14" s="27" t="str">
        <f>_xll.BDH("UNP US Equity","GROSS_PROFIT","FY 2014","FY 2014","Currency=USD","Period=FY","BEST_FPERIOD_OVERRIDE=FY","FILING_STATUS=MR","SCALING_FORMAT=MLN","FA_ADJUSTED=Adjusted","Sort=A","Dates=H","DateFormat=P","Fill=—","Direction=H","UseDPDF=Y")</f>
        <v>—</v>
      </c>
      <c r="K14" s="27" t="str">
        <f>_xll.BDH("UNP US Equity","GROSS_PROFIT","FY 2015","FY 2015","Currency=USD","Period=FY","BEST_FPERIOD_OVERRIDE=FY","FILING_STATUS=MR","SCALING_FORMAT=MLN","FA_ADJUSTED=Adjusted","Sort=A","Dates=H","DateFormat=P","Fill=—","Direction=H","UseDPDF=Y")</f>
        <v>—</v>
      </c>
      <c r="L14" s="27" t="str">
        <f>_xll.BDH("UNP US Equity","GROSS_PROFIT","FY 2016","FY 2016","Currency=USD","Period=FY","BEST_FPERIOD_OVERRIDE=FY","FILING_STATUS=MR","SCALING_FORMAT=MLN","FA_ADJUSTED=Adjusted","Sort=A","Dates=H","DateFormat=P","Fill=—","Direction=H","UseDPDF=Y")</f>
        <v>—</v>
      </c>
      <c r="M14" s="27">
        <v>8958.3883901499994</v>
      </c>
      <c r="N14" s="27">
        <v>10515.77081856</v>
      </c>
    </row>
    <row r="15" spans="1:14" x14ac:dyDescent="0.45">
      <c r="A15" s="31" t="s">
        <v>174</v>
      </c>
      <c r="B15" s="31" t="s">
        <v>175</v>
      </c>
      <c r="C15" s="32" t="str">
        <f>_xll.BDH("UNP US Equity","GROSS_MARGIN","FY 2007","FY 2007","Currency=USD","Period=FY","BEST_FPERIOD_OVERRIDE=FY","FILING_STATUS=MR","FA_ADJUSTED=Adjusted","Sort=A","Dates=H","DateFormat=P","Fill=—","Direction=H","UseDPDF=Y")</f>
        <v>—</v>
      </c>
      <c r="D15" s="32" t="str">
        <f>_xll.BDH("UNP US Equity","GROSS_MARGIN","FY 2008","FY 2008","Currency=USD","Period=FY","BEST_FPERIOD_OVERRIDE=FY","FILING_STATUS=MR","FA_ADJUSTED=Adjusted","Sort=A","Dates=H","DateFormat=P","Fill=—","Direction=H","UseDPDF=Y")</f>
        <v>—</v>
      </c>
      <c r="E15" s="32" t="str">
        <f>_xll.BDH("UNP US Equity","GROSS_MARGIN","FY 2009","FY 2009","Currency=USD","Period=FY","BEST_FPERIOD_OVERRIDE=FY","FILING_STATUS=MR","FA_ADJUSTED=Adjusted","Sort=A","Dates=H","DateFormat=P","Fill=—","Direction=H","UseDPDF=Y")</f>
        <v>—</v>
      </c>
      <c r="F15" s="32" t="str">
        <f>_xll.BDH("UNP US Equity","GROSS_MARGIN","FY 2010","FY 2010","Currency=USD","Period=FY","BEST_FPERIOD_OVERRIDE=FY","FILING_STATUS=MR","FA_ADJUSTED=Adjusted","Sort=A","Dates=H","DateFormat=P","Fill=—","Direction=H","UseDPDF=Y")</f>
        <v>—</v>
      </c>
      <c r="G15" s="32" t="str">
        <f>_xll.BDH("UNP US Equity","GROSS_MARGIN","FY 2011","FY 2011","Currency=USD","Period=FY","BEST_FPERIOD_OVERRIDE=FY","FILING_STATUS=MR","FA_ADJUSTED=Adjusted","Sort=A","Dates=H","DateFormat=P","Fill=—","Direction=H","UseDPDF=Y")</f>
        <v>—</v>
      </c>
      <c r="H15" s="32" t="str">
        <f>_xll.BDH("UNP US Equity","GROSS_MARGIN","FY 2012","FY 2012","Currency=USD","Period=FY","BEST_FPERIOD_OVERRIDE=FY","FILING_STATUS=MR","FA_ADJUSTED=Adjusted","Sort=A","Dates=H","DateFormat=P","Fill=—","Direction=H","UseDPDF=Y")</f>
        <v>—</v>
      </c>
      <c r="I15" s="32" t="str">
        <f>_xll.BDH("UNP US Equity","GROSS_MARGIN","FY 2013","FY 2013","Currency=USD","Period=FY","BEST_FPERIOD_OVERRIDE=FY","FILING_STATUS=MR","FA_ADJUSTED=Adjusted","Sort=A","Dates=H","DateFormat=P","Fill=—","Direction=H","UseDPDF=Y")</f>
        <v>—</v>
      </c>
      <c r="J15" s="32" t="str">
        <f>_xll.BDH("UNP US Equity","GROSS_MARGIN","FY 2014","FY 2014","Currency=USD","Period=FY","BEST_FPERIOD_OVERRIDE=FY","FILING_STATUS=MR","FA_ADJUSTED=Adjusted","Sort=A","Dates=H","DateFormat=P","Fill=—","Direction=H","UseDPDF=Y")</f>
        <v>—</v>
      </c>
      <c r="K15" s="32" t="str">
        <f>_xll.BDH("UNP US Equity","GROSS_MARGIN","FY 2015","FY 2015","Currency=USD","Period=FY","BEST_FPERIOD_OVERRIDE=FY","FILING_STATUS=MR","FA_ADJUSTED=Adjusted","Sort=A","Dates=H","DateFormat=P","Fill=—","Direction=H","UseDPDF=Y")</f>
        <v>—</v>
      </c>
      <c r="L15" s="32" t="str">
        <f>_xll.BDH("UNP US Equity","GROSS_MARGIN","FY 2016","FY 2016","Currency=USD","Period=FY","BEST_FPERIOD_OVERRIDE=FY","FILING_STATUS=MR","FA_ADJUSTED=Adjusted","Sort=A","Dates=H","DateFormat=P","Fill=—","Direction=H","UseDPDF=Y")</f>
        <v>—</v>
      </c>
      <c r="M15" s="32">
        <v>42.814999999999998</v>
      </c>
      <c r="N15" s="32">
        <v>47.781999999999996</v>
      </c>
    </row>
    <row r="16" spans="1:14" x14ac:dyDescent="0.45">
      <c r="A16" s="26" t="s">
        <v>176</v>
      </c>
      <c r="B16" s="26" t="s">
        <v>177</v>
      </c>
      <c r="C16" s="27">
        <f>_xll.BDH("UNP US Equity","EBITDA","FY 2007","FY 2007","Currency=USD","Period=FY","BEST_FPERIOD_OVERRIDE=FY","FILING_STATUS=MR","SCALING_FORMAT=MLN","FA_ADJUSTED=Adjusted","Sort=A","Dates=H","DateFormat=P","Fill=—","Direction=H","UseDPDF=Y")</f>
        <v>4696</v>
      </c>
      <c r="D16" s="27">
        <f>_xll.BDH("UNP US Equity","EBITDA","FY 2008","FY 2008","Currency=USD","Period=FY","BEST_FPERIOD_OVERRIDE=FY","FILING_STATUS=MR","SCALING_FORMAT=MLN","FA_ADJUSTED=Adjusted","Sort=A","Dates=H","DateFormat=P","Fill=—","Direction=H","UseDPDF=Y")</f>
        <v>5462</v>
      </c>
      <c r="E16" s="27">
        <f>_xll.BDH("UNP US Equity","EBITDA","FY 2009","FY 2009","Currency=USD","Period=FY","BEST_FPERIOD_OVERRIDE=FY","FILING_STATUS=MR","SCALING_FORMAT=MLN","FA_ADJUSTED=Adjusted","Sort=A","Dates=H","DateFormat=P","Fill=—","Direction=H","UseDPDF=Y")</f>
        <v>4806</v>
      </c>
      <c r="F16" s="27">
        <f>_xll.BDH("UNP US Equity","EBITDA","FY 2010","FY 2010","Currency=USD","Period=FY","BEST_FPERIOD_OVERRIDE=FY","FILING_STATUS=MR","SCALING_FORMAT=MLN","FA_ADJUSTED=Adjusted","Sort=A","Dates=H","DateFormat=P","Fill=—","Direction=H","UseDPDF=Y")</f>
        <v>6513</v>
      </c>
      <c r="G16" s="27">
        <f>_xll.BDH("UNP US Equity","EBITDA","FY 2011","FY 2011","Currency=USD","Period=FY","BEST_FPERIOD_OVERRIDE=FY","FILING_STATUS=MR","SCALING_FORMAT=MLN","FA_ADJUSTED=Adjusted","Sort=A","Dates=H","DateFormat=P","Fill=—","Direction=H","UseDPDF=Y")</f>
        <v>7341</v>
      </c>
      <c r="H16" s="27">
        <f>_xll.BDH("UNP US Equity","EBITDA","FY 2012","FY 2012","Currency=USD","Period=FY","BEST_FPERIOD_OVERRIDE=FY","FILING_STATUS=MR","SCALING_FORMAT=MLN","FA_ADJUSTED=Adjusted","Sort=A","Dates=H","DateFormat=P","Fill=—","Direction=H","UseDPDF=Y")</f>
        <v>8505</v>
      </c>
      <c r="I16" s="27">
        <f>_xll.BDH("UNP US Equity","EBITDA","FY 2013","FY 2013","Currency=USD","Period=FY","BEST_FPERIOD_OVERRIDE=FY","FILING_STATUS=MR","SCALING_FORMAT=MLN","FA_ADJUSTED=Adjusted","Sort=A","Dates=H","DateFormat=P","Fill=—","Direction=H","UseDPDF=Y")</f>
        <v>9223</v>
      </c>
      <c r="J16" s="27">
        <f>_xll.BDH("UNP US Equity","EBITDA","FY 2014","FY 2014","Currency=USD","Period=FY","BEST_FPERIOD_OVERRIDE=FY","FILING_STATUS=MR","SCALING_FORMAT=MLN","FA_ADJUSTED=Adjusted","Sort=A","Dates=H","DateFormat=P","Fill=—","Direction=H","UseDPDF=Y")</f>
        <v>10657</v>
      </c>
      <c r="K16" s="27">
        <f>_xll.BDH("UNP US Equity","EBITDA","FY 2015","FY 2015","Currency=USD","Period=FY","BEST_FPERIOD_OVERRIDE=FY","FILING_STATUS=MR","SCALING_FORMAT=MLN","FA_ADJUSTED=Adjusted","Sort=A","Dates=H","DateFormat=P","Fill=—","Direction=H","UseDPDF=Y")</f>
        <v>10064</v>
      </c>
      <c r="L16" s="27">
        <f>_xll.BDH("UNP US Equity","EBITDA","FY 2016","FY 2016","Currency=USD","Period=FY","BEST_FPERIOD_OVERRIDE=FY","FILING_STATUS=MR","SCALING_FORMAT=MLN","FA_ADJUSTED=Adjusted","Sort=A","Dates=H","DateFormat=P","Fill=—","Direction=H","UseDPDF=Y")</f>
        <v>9310</v>
      </c>
      <c r="M16" s="27">
        <v>9952.1740000000009</v>
      </c>
      <c r="N16" s="27">
        <v>10625.955</v>
      </c>
    </row>
    <row r="17" spans="1:14" x14ac:dyDescent="0.45">
      <c r="A17" s="31" t="s">
        <v>174</v>
      </c>
      <c r="B17" s="31" t="s">
        <v>178</v>
      </c>
      <c r="C17" s="32">
        <f>_xll.BDH("UNP US Equity","EBITDA_TO_REVENUE","FY 2007","FY 2007","Currency=USD","Period=FY","BEST_FPERIOD_OVERRIDE=FY","FILING_STATUS=MR","FA_ADJUSTED=Adjusted","Sort=A","Dates=H","DateFormat=P","Fill=—","Direction=H","UseDPDF=Y")</f>
        <v>28.8399</v>
      </c>
      <c r="D17" s="32">
        <f>_xll.BDH("UNP US Equity","EBITDA_TO_REVENUE","FY 2008","FY 2008","Currency=USD","Period=FY","BEST_FPERIOD_OVERRIDE=FY","FILING_STATUS=MR","FA_ADJUSTED=Adjusted","Sort=A","Dates=H","DateFormat=P","Fill=—","Direction=H","UseDPDF=Y")</f>
        <v>30.395099999999999</v>
      </c>
      <c r="E17" s="32">
        <f>_xll.BDH("UNP US Equity","EBITDA_TO_REVENUE","FY 2009","FY 2009","Currency=USD","Period=FY","BEST_FPERIOD_OVERRIDE=FY","FILING_STATUS=MR","FA_ADJUSTED=Adjusted","Sort=A","Dates=H","DateFormat=P","Fill=—","Direction=H","UseDPDF=Y")</f>
        <v>33.981499999999997</v>
      </c>
      <c r="F17" s="32">
        <f>_xll.BDH("UNP US Equity","EBITDA_TO_REVENUE","FY 2010","FY 2010","Currency=USD","Period=FY","BEST_FPERIOD_OVERRIDE=FY","FILING_STATUS=MR","FA_ADJUSTED=Adjusted","Sort=A","Dates=H","DateFormat=P","Fill=—","Direction=H","UseDPDF=Y")</f>
        <v>38.390799999999999</v>
      </c>
      <c r="G17" s="32">
        <f>_xll.BDH("UNP US Equity","EBITDA_TO_REVENUE","FY 2011","FY 2011","Currency=USD","Period=FY","BEST_FPERIOD_OVERRIDE=FY","FILING_STATUS=MR","FA_ADJUSTED=Adjusted","Sort=A","Dates=H","DateFormat=P","Fill=—","Direction=H","UseDPDF=Y")</f>
        <v>37.5364</v>
      </c>
      <c r="H17" s="32">
        <f>_xll.BDH("UNP US Equity","EBITDA_TO_REVENUE","FY 2012","FY 2012","Currency=USD","Period=FY","BEST_FPERIOD_OVERRIDE=FY","FILING_STATUS=MR","FA_ADJUSTED=Adjusted","Sort=A","Dates=H","DateFormat=P","Fill=—","Direction=H","UseDPDF=Y")</f>
        <v>40.6432</v>
      </c>
      <c r="I17" s="32">
        <f>_xll.BDH("UNP US Equity","EBITDA_TO_REVENUE","FY 2013","FY 2013","Currency=USD","Period=FY","BEST_FPERIOD_OVERRIDE=FY","FILING_STATUS=MR","FA_ADJUSTED=Adjusted","Sort=A","Dates=H","DateFormat=P","Fill=—","Direction=H","UseDPDF=Y")</f>
        <v>41.993400000000001</v>
      </c>
      <c r="J17" s="32">
        <f>_xll.BDH("UNP US Equity","EBITDA_TO_REVENUE","FY 2014","FY 2014","Currency=USD","Period=FY","BEST_FPERIOD_OVERRIDE=FY","FILING_STATUS=MR","FA_ADJUSTED=Adjusted","Sort=A","Dates=H","DateFormat=P","Fill=—","Direction=H","UseDPDF=Y")</f>
        <v>44.426400000000001</v>
      </c>
      <c r="K17" s="32">
        <f>_xll.BDH("UNP US Equity","EBITDA_TO_REVENUE","FY 2015","FY 2015","Currency=USD","Period=FY","BEST_FPERIOD_OVERRIDE=FY","FILING_STATUS=MR","FA_ADJUSTED=Adjusted","Sort=A","Dates=H","DateFormat=P","Fill=—","Direction=H","UseDPDF=Y")</f>
        <v>46.137599999999999</v>
      </c>
      <c r="L17" s="32">
        <f>_xll.BDH("UNP US Equity","EBITDA_TO_REVENUE","FY 2016","FY 2016","Currency=USD","Period=FY","BEST_FPERIOD_OVERRIDE=FY","FILING_STATUS=MR","FA_ADJUSTED=Adjusted","Sort=A","Dates=H","DateFormat=P","Fill=—","Direction=H","UseDPDF=Y")</f>
        <v>46.6877</v>
      </c>
      <c r="M17" s="32">
        <v>47.564618908297298</v>
      </c>
      <c r="N17" s="32">
        <v>48.282659499755702</v>
      </c>
    </row>
    <row r="18" spans="1:14" x14ac:dyDescent="0.45">
      <c r="A18" s="26" t="s">
        <v>179</v>
      </c>
      <c r="B18" s="26" t="s">
        <v>116</v>
      </c>
      <c r="C18" s="27">
        <f>_xll.BDH("UNP US Equity","EARN_FOR_COMMON","FY 2007","FY 2007","Currency=USD","Period=FY","BEST_FPERIOD_OVERRIDE=FY","FILING_STATUS=MR","SCALING_FORMAT=MLN","FA_ADJUSTED=Adjusted","Sort=A","Dates=H","DateFormat=P","Fill=—","Direction=H","UseDPDF=Y")</f>
        <v>1855</v>
      </c>
      <c r="D18" s="27">
        <f>_xll.BDH("UNP US Equity","EARN_FOR_COMMON","FY 2008","FY 2008","Currency=USD","Period=FY","BEST_FPERIOD_OVERRIDE=FY","FILING_STATUS=MR","SCALING_FORMAT=MLN","FA_ADJUSTED=Adjusted","Sort=A","Dates=H","DateFormat=P","Fill=—","Direction=H","UseDPDF=Y")</f>
        <v>2338</v>
      </c>
      <c r="E18" s="27">
        <f>_xll.BDH("UNP US Equity","EARN_FOR_COMMON","FY 2009","FY 2009","Currency=USD","Period=FY","BEST_FPERIOD_OVERRIDE=FY","FILING_STATUS=MR","SCALING_FORMAT=MLN","FA_ADJUSTED=Adjusted","Sort=A","Dates=H","DateFormat=P","Fill=—","Direction=H","UseDPDF=Y")</f>
        <v>1784.7</v>
      </c>
      <c r="F18" s="27">
        <f>_xll.BDH("UNP US Equity","EARN_FOR_COMMON","FY 2010","FY 2010","Currency=USD","Period=FY","BEST_FPERIOD_OVERRIDE=FY","FILING_STATUS=MR","SCALING_FORMAT=MLN","FA_ADJUSTED=Adjusted","Sort=A","Dates=H","DateFormat=P","Fill=—","Direction=H","UseDPDF=Y")</f>
        <v>2806.65</v>
      </c>
      <c r="G18" s="27">
        <f>_xll.BDH("UNP US Equity","EARN_FOR_COMMON","FY 2011","FY 2011","Currency=USD","Period=FY","BEST_FPERIOD_OVERRIDE=FY","FILING_STATUS=MR","SCALING_FORMAT=MLN","FA_ADJUSTED=Adjusted","Sort=A","Dates=H","DateFormat=P","Fill=—","Direction=H","UseDPDF=Y")</f>
        <v>3267.3</v>
      </c>
      <c r="H18" s="27">
        <f>_xll.BDH("UNP US Equity","EARN_FOR_COMMON","FY 2012","FY 2012","Currency=USD","Period=FY","BEST_FPERIOD_OVERRIDE=FY","FILING_STATUS=MR","SCALING_FORMAT=MLN","FA_ADJUSTED=Adjusted","Sort=A","Dates=H","DateFormat=P","Fill=—","Direction=H","UseDPDF=Y")</f>
        <v>3928.05</v>
      </c>
      <c r="I18" s="27">
        <f>_xll.BDH("UNP US Equity","EARN_FOR_COMMON","FY 2013","FY 2013","Currency=USD","Period=FY","BEST_FPERIOD_OVERRIDE=FY","FILING_STATUS=MR","SCALING_FORMAT=MLN","FA_ADJUSTED=Adjusted","Sort=A","Dates=H","DateFormat=P","Fill=—","Direction=H","UseDPDF=Y")</f>
        <v>4367.8500000000004</v>
      </c>
      <c r="J18" s="27">
        <f>_xll.BDH("UNP US Equity","EARN_FOR_COMMON","FY 2014","FY 2014","Currency=USD","Period=FY","BEST_FPERIOD_OVERRIDE=FY","FILING_STATUS=MR","SCALING_FORMAT=MLN","FA_ADJUSTED=Adjusted","Sort=A","Dates=H","DateFormat=P","Fill=—","Direction=H","UseDPDF=Y")</f>
        <v>5126.05</v>
      </c>
      <c r="K18" s="27">
        <f>_xll.BDH("UNP US Equity","EARN_FOR_COMMON","FY 2015","FY 2015","Currency=USD","Period=FY","BEST_FPERIOD_OVERRIDE=FY","FILING_STATUS=MR","SCALING_FORMAT=MLN","FA_ADJUSTED=Adjusted","Sort=A","Dates=H","DateFormat=P","Fill=—","Direction=H","UseDPDF=Y")</f>
        <v>4678.3999999999996</v>
      </c>
      <c r="L18" s="27">
        <f>_xll.BDH("UNP US Equity","EARN_FOR_COMMON","FY 2016","FY 2016","Currency=USD","Period=FY","BEST_FPERIOD_OVERRIDE=FY","FILING_STATUS=MR","SCALING_FORMAT=MLN","FA_ADJUSTED=Adjusted","Sort=A","Dates=H","DateFormat=P","Fill=—","Direction=H","UseDPDF=Y")</f>
        <v>4171.8999999999996</v>
      </c>
      <c r="M18" s="27">
        <v>4535.174</v>
      </c>
      <c r="N18" s="27">
        <v>4931.0450000000001</v>
      </c>
    </row>
    <row r="19" spans="1:14" x14ac:dyDescent="0.45">
      <c r="A19" s="31" t="s">
        <v>174</v>
      </c>
      <c r="B19" s="31" t="s">
        <v>180</v>
      </c>
      <c r="C19" s="32">
        <f>_xll.BDH("UNP US Equity","NET_INCOME_TO_COMMON_MARGIN","FY 2007","FY 2007","Currency=USD","Period=FY","BEST_FPERIOD_OVERRIDE=FY","FILING_STATUS=MR","FA_ADJUSTED=Adjusted","Sort=A","Dates=H","DateFormat=P","Fill=—","Direction=H","UseDPDF=Y")</f>
        <v>11.392200000000001</v>
      </c>
      <c r="D19" s="32">
        <f>_xll.BDH("UNP US Equity","NET_INCOME_TO_COMMON_MARGIN","FY 2008","FY 2008","Currency=USD","Period=FY","BEST_FPERIOD_OVERRIDE=FY","FILING_STATUS=MR","FA_ADJUSTED=Adjusted","Sort=A","Dates=H","DateFormat=P","Fill=—","Direction=H","UseDPDF=Y")</f>
        <v>13.0106</v>
      </c>
      <c r="E19" s="32">
        <f>_xll.BDH("UNP US Equity","NET_INCOME_TO_COMMON_MARGIN","FY 2009","FY 2009","Currency=USD","Period=FY","BEST_FPERIOD_OVERRIDE=FY","FILING_STATUS=MR","FA_ADJUSTED=Adjusted","Sort=A","Dates=H","DateFormat=P","Fill=—","Direction=H","UseDPDF=Y")</f>
        <v>12.619</v>
      </c>
      <c r="F19" s="32">
        <f>_xll.BDH("UNP US Equity","NET_INCOME_TO_COMMON_MARGIN","FY 2010","FY 2010","Currency=USD","Period=FY","BEST_FPERIOD_OVERRIDE=FY","FILING_STATUS=MR","FA_ADJUSTED=Adjusted","Sort=A","Dates=H","DateFormat=P","Fill=—","Direction=H","UseDPDF=Y")</f>
        <v>16.543800000000001</v>
      </c>
      <c r="G19" s="32">
        <f>_xll.BDH("UNP US Equity","NET_INCOME_TO_COMMON_MARGIN","FY 2011","FY 2011","Currency=USD","Period=FY","BEST_FPERIOD_OVERRIDE=FY","FILING_STATUS=MR","FA_ADJUSTED=Adjusted","Sort=A","Dates=H","DateFormat=P","Fill=—","Direction=H","UseDPDF=Y")</f>
        <v>16.706600000000002</v>
      </c>
      <c r="H19" s="32">
        <f>_xll.BDH("UNP US Equity","NET_INCOME_TO_COMMON_MARGIN","FY 2012","FY 2012","Currency=USD","Period=FY","BEST_FPERIOD_OVERRIDE=FY","FILING_STATUS=MR","FA_ADJUSTED=Adjusted","Sort=A","Dates=H","DateFormat=P","Fill=—","Direction=H","UseDPDF=Y")</f>
        <v>18.771100000000001</v>
      </c>
      <c r="I19" s="32">
        <f>_xll.BDH("UNP US Equity","NET_INCOME_TO_COMMON_MARGIN","FY 2013","FY 2013","Currency=USD","Period=FY","BEST_FPERIOD_OVERRIDE=FY","FILING_STATUS=MR","FA_ADJUSTED=Adjusted","Sort=A","Dates=H","DateFormat=P","Fill=—","Direction=H","UseDPDF=Y")</f>
        <v>19.8873</v>
      </c>
      <c r="J19" s="32">
        <f>_xll.BDH("UNP US Equity","NET_INCOME_TO_COMMON_MARGIN","FY 2014","FY 2014","Currency=USD","Period=FY","BEST_FPERIOD_OVERRIDE=FY","FILING_STATUS=MR","FA_ADJUSTED=Adjusted","Sort=A","Dates=H","DateFormat=P","Fill=—","Direction=H","UseDPDF=Y")</f>
        <v>21.369199999999999</v>
      </c>
      <c r="K19" s="32">
        <f>_xll.BDH("UNP US Equity","NET_INCOME_TO_COMMON_MARGIN","FY 2015","FY 2015","Currency=USD","Period=FY","BEST_FPERIOD_OVERRIDE=FY","FILING_STATUS=MR","FA_ADJUSTED=Adjusted","Sort=A","Dates=H","DateFormat=P","Fill=—","Direction=H","UseDPDF=Y")</f>
        <v>21.447800000000001</v>
      </c>
      <c r="L19" s="32">
        <f>_xll.BDH("UNP US Equity","NET_INCOME_TO_COMMON_MARGIN","FY 2016","FY 2016","Currency=USD","Period=FY","BEST_FPERIOD_OVERRIDE=FY","FILING_STATUS=MR","FA_ADJUSTED=Adjusted","Sort=A","Dates=H","DateFormat=P","Fill=—","Direction=H","UseDPDF=Y")</f>
        <v>20.921199999999999</v>
      </c>
      <c r="M19" s="32">
        <v>21.6750453712745</v>
      </c>
      <c r="N19" s="32">
        <v>22.4058888554462</v>
      </c>
    </row>
    <row r="20" spans="1:14" x14ac:dyDescent="0.45">
      <c r="A20" s="26" t="s">
        <v>181</v>
      </c>
      <c r="B20" s="26" t="s">
        <v>135</v>
      </c>
      <c r="C20" s="33">
        <f>_xll.BDH("UNP US Equity","IS_DIL_EPS_CONT_OPS","FY 2007","FY 2007","Currency=USD","Period=FY","BEST_FPERIOD_OVERRIDE=FY","FILING_STATUS=MR","Sort=A","Dates=H","DateFormat=P","Fill=—","Direction=H","UseDPDF=Y")</f>
        <v>1.73</v>
      </c>
      <c r="D20" s="33">
        <f>_xll.BDH("UNP US Equity","IS_DIL_EPS_CONT_OPS","FY 2008","FY 2008","Currency=USD","Period=FY","BEST_FPERIOD_OVERRIDE=FY","FILING_STATUS=MR","Sort=A","Dates=H","DateFormat=P","Fill=—","Direction=H","UseDPDF=Y")</f>
        <v>2.27</v>
      </c>
      <c r="E20" s="33">
        <f>_xll.BDH("UNP US Equity","IS_DIL_EPS_CONT_OPS","FY 2009","FY 2009","Currency=USD","Period=FY","BEST_FPERIOD_OVERRIDE=FY","FILING_STATUS=MR","Sort=A","Dates=H","DateFormat=P","Fill=—","Direction=H","UseDPDF=Y")</f>
        <v>1.7659</v>
      </c>
      <c r="F20" s="33">
        <f>_xll.BDH("UNP US Equity","IS_DIL_EPS_CONT_OPS","FY 2010","FY 2010","Currency=USD","Period=FY","BEST_FPERIOD_OVERRIDE=FY","FILING_STATUS=MR","Sort=A","Dates=H","DateFormat=P","Fill=—","Direction=H","UseDPDF=Y")</f>
        <v>2.7915000000000001</v>
      </c>
      <c r="G20" s="33">
        <f>_xll.BDH("UNP US Equity","IS_DIL_EPS_CONT_OPS","FY 2011","FY 2011","Currency=USD","Period=FY","BEST_FPERIOD_OVERRIDE=FY","FILING_STATUS=MR","Sort=A","Dates=H","DateFormat=P","Fill=—","Direction=H","UseDPDF=Y")</f>
        <v>3.3348</v>
      </c>
      <c r="H20" s="33">
        <f>_xll.BDH("UNP US Equity","IS_DIL_EPS_CONT_OPS","FY 2012","FY 2012","Currency=USD","Period=FY","BEST_FPERIOD_OVERRIDE=FY","FILING_STATUS=MR","Sort=A","Dates=H","DateFormat=P","Fill=—","Direction=H","UseDPDF=Y")</f>
        <v>4.1193</v>
      </c>
      <c r="I20" s="33">
        <f>_xll.BDH("UNP US Equity","IS_DIL_EPS_CONT_OPS","FY 2013","FY 2013","Currency=USD","Period=FY","BEST_FPERIOD_OVERRIDE=FY","FILING_STATUS=MR","Sort=A","Dates=H","DateFormat=P","Fill=—","Direction=H","UseDPDF=Y")</f>
        <v>4.6883999999999997</v>
      </c>
      <c r="J20" s="33">
        <f>_xll.BDH("UNP US Equity","IS_DIL_EPS_CONT_OPS","FY 2014","FY 2014","Currency=USD","Period=FY","BEST_FPERIOD_OVERRIDE=FY","FILING_STATUS=MR","Sort=A","Dates=H","DateFormat=P","Fill=—","Direction=H","UseDPDF=Y")</f>
        <v>5.6901000000000002</v>
      </c>
      <c r="K20" s="33">
        <f>_xll.BDH("UNP US Equity","IS_DIL_EPS_CONT_OPS","FY 2015","FY 2015","Currency=USD","Period=FY","BEST_FPERIOD_OVERRIDE=FY","FILING_STATUS=MR","Sort=A","Dates=H","DateFormat=P","Fill=—","Direction=H","UseDPDF=Y")</f>
        <v>5.3822999999999999</v>
      </c>
      <c r="L20" s="33">
        <f>_xll.BDH("UNP US Equity","IS_DIL_EPS_CONT_OPS","FY 2016","FY 2016","Currency=USD","Period=FY","BEST_FPERIOD_OVERRIDE=FY","FILING_STATUS=MR","Sort=A","Dates=H","DateFormat=P","Fill=—","Direction=H","UseDPDF=Y")</f>
        <v>4.9969000000000001</v>
      </c>
      <c r="M20" s="33">
        <v>5.6390000000000002</v>
      </c>
      <c r="N20" s="33">
        <v>6.3410000000000002</v>
      </c>
    </row>
    <row r="21" spans="1:14" x14ac:dyDescent="0.45">
      <c r="A21" s="31" t="s">
        <v>171</v>
      </c>
      <c r="B21" s="31" t="s">
        <v>135</v>
      </c>
      <c r="C21" s="32">
        <v>17.089678510998301</v>
      </c>
      <c r="D21" s="32">
        <v>31.213872832369901</v>
      </c>
      <c r="E21" s="32">
        <v>-22.2067400881057</v>
      </c>
      <c r="F21" s="32">
        <v>58.077237363009502</v>
      </c>
      <c r="G21" s="32">
        <v>19.462281349397799</v>
      </c>
      <c r="H21" s="32">
        <v>23.525557562014502</v>
      </c>
      <c r="I21" s="32">
        <v>13.8143908947924</v>
      </c>
      <c r="J21" s="32">
        <v>21.3668670845375</v>
      </c>
      <c r="K21" s="32">
        <v>-5.40917437899913</v>
      </c>
      <c r="L21" s="32">
        <v>-7.1619221379548703</v>
      </c>
      <c r="M21" s="32">
        <v>12.850847762225101</v>
      </c>
      <c r="N21" s="32">
        <v>12.449015782940201</v>
      </c>
    </row>
    <row r="22" spans="1:14" x14ac:dyDescent="0.45">
      <c r="A22" s="2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x14ac:dyDescent="0.45">
      <c r="A23" s="26" t="s">
        <v>182</v>
      </c>
      <c r="B23" s="26" t="s">
        <v>183</v>
      </c>
      <c r="C23" s="27">
        <f>_xll.BDH("UNP US Equity","CF_CASH_FROM_OPER","FY 2007","FY 2007","Currency=USD","Period=FY","BEST_FPERIOD_OVERRIDE=FY","FILING_STATUS=MR","SCALING_FORMAT=MLN","Sort=A","Dates=H","DateFormat=P","Fill=—","Direction=H","UseDPDF=Y")</f>
        <v>3277</v>
      </c>
      <c r="D23" s="27">
        <f>_xll.BDH("UNP US Equity","CF_CASH_FROM_OPER","FY 2008","FY 2008","Currency=USD","Period=FY","BEST_FPERIOD_OVERRIDE=FY","FILING_STATUS=MR","SCALING_FORMAT=MLN","Sort=A","Dates=H","DateFormat=P","Fill=—","Direction=H","UseDPDF=Y")</f>
        <v>4070</v>
      </c>
      <c r="E23" s="27">
        <f>_xll.BDH("UNP US Equity","CF_CASH_FROM_OPER","FY 2009","FY 2009","Currency=USD","Period=FY","BEST_FPERIOD_OVERRIDE=FY","FILING_STATUS=MR","SCALING_FORMAT=MLN","Sort=A","Dates=H","DateFormat=P","Fill=—","Direction=H","UseDPDF=Y")</f>
        <v>3204</v>
      </c>
      <c r="F23" s="27">
        <f>_xll.BDH("UNP US Equity","CF_CASH_FROM_OPER","FY 2010","FY 2010","Currency=USD","Period=FY","BEST_FPERIOD_OVERRIDE=FY","FILING_STATUS=MR","SCALING_FORMAT=MLN","Sort=A","Dates=H","DateFormat=P","Fill=—","Direction=H","UseDPDF=Y")</f>
        <v>4105</v>
      </c>
      <c r="G23" s="27">
        <f>_xll.BDH("UNP US Equity","CF_CASH_FROM_OPER","FY 2011","FY 2011","Currency=USD","Period=FY","BEST_FPERIOD_OVERRIDE=FY","FILING_STATUS=MR","SCALING_FORMAT=MLN","Sort=A","Dates=H","DateFormat=P","Fill=—","Direction=H","UseDPDF=Y")</f>
        <v>5873</v>
      </c>
      <c r="H23" s="27">
        <f>_xll.BDH("UNP US Equity","CF_CASH_FROM_OPER","FY 2012","FY 2012","Currency=USD","Period=FY","BEST_FPERIOD_OVERRIDE=FY","FILING_STATUS=MR","SCALING_FORMAT=MLN","Sort=A","Dates=H","DateFormat=P","Fill=—","Direction=H","UseDPDF=Y")</f>
        <v>6161</v>
      </c>
      <c r="I23" s="27">
        <f>_xll.BDH("UNP US Equity","CF_CASH_FROM_OPER","FY 2013","FY 2013","Currency=USD","Period=FY","BEST_FPERIOD_OVERRIDE=FY","FILING_STATUS=MR","SCALING_FORMAT=MLN","Sort=A","Dates=H","DateFormat=P","Fill=—","Direction=H","UseDPDF=Y")</f>
        <v>6823</v>
      </c>
      <c r="J23" s="27">
        <f>_xll.BDH("UNP US Equity","CF_CASH_FROM_OPER","FY 2014","FY 2014","Currency=USD","Period=FY","BEST_FPERIOD_OVERRIDE=FY","FILING_STATUS=MR","SCALING_FORMAT=MLN","Sort=A","Dates=H","DateFormat=P","Fill=—","Direction=H","UseDPDF=Y")</f>
        <v>7385</v>
      </c>
      <c r="K23" s="27">
        <f>_xll.BDH("UNP US Equity","CF_CASH_FROM_OPER","FY 2015","FY 2015","Currency=USD","Period=FY","BEST_FPERIOD_OVERRIDE=FY","FILING_STATUS=MR","SCALING_FORMAT=MLN","Sort=A","Dates=H","DateFormat=P","Fill=—","Direction=H","UseDPDF=Y")</f>
        <v>7344</v>
      </c>
      <c r="L23" s="27">
        <f>_xll.BDH("UNP US Equity","CF_CASH_FROM_OPER","FY 2016","FY 2016","Currency=USD","Period=FY","BEST_FPERIOD_OVERRIDE=FY","FILING_STATUS=MR","SCALING_FORMAT=MLN","Sort=A","Dates=H","DateFormat=P","Fill=—","Direction=H","UseDPDF=Y")</f>
        <v>7525</v>
      </c>
      <c r="M23" s="27"/>
      <c r="N23" s="27"/>
    </row>
    <row r="24" spans="1:14" x14ac:dyDescent="0.45">
      <c r="A24" s="26" t="s">
        <v>184</v>
      </c>
      <c r="B24" s="26" t="s">
        <v>185</v>
      </c>
      <c r="C24" s="27">
        <f>_xll.BDH("UNP US Equity","CAPITAL_EXPEND","FY 2007","FY 2007","Currency=USD","Period=FY","BEST_FPERIOD_OVERRIDE=FY","FILING_STATUS=MR","SCALING_FORMAT=MLN","Sort=A","Dates=H","DateFormat=P","Fill=—","Direction=H","UseDPDF=Y")</f>
        <v>-2496</v>
      </c>
      <c r="D24" s="27">
        <f>_xll.BDH("UNP US Equity","CAPITAL_EXPEND","FY 2008","FY 2008","Currency=USD","Period=FY","BEST_FPERIOD_OVERRIDE=FY","FILING_STATUS=MR","SCALING_FORMAT=MLN","Sort=A","Dates=H","DateFormat=P","Fill=—","Direction=H","UseDPDF=Y")</f>
        <v>-2780</v>
      </c>
      <c r="E24" s="27">
        <f>_xll.BDH("UNP US Equity","CAPITAL_EXPEND","FY 2009","FY 2009","Currency=USD","Period=FY","BEST_FPERIOD_OVERRIDE=FY","FILING_STATUS=MR","SCALING_FORMAT=MLN","Sort=A","Dates=H","DateFormat=P","Fill=—","Direction=H","UseDPDF=Y")</f>
        <v>-2354</v>
      </c>
      <c r="F24" s="27">
        <f>_xll.BDH("UNP US Equity","CAPITAL_EXPEND","FY 2010","FY 2010","Currency=USD","Period=FY","BEST_FPERIOD_OVERRIDE=FY","FILING_STATUS=MR","SCALING_FORMAT=MLN","Sort=A","Dates=H","DateFormat=P","Fill=—","Direction=H","UseDPDF=Y")</f>
        <v>-2482</v>
      </c>
      <c r="G24" s="27">
        <f>_xll.BDH("UNP US Equity","CAPITAL_EXPEND","FY 2011","FY 2011","Currency=USD","Period=FY","BEST_FPERIOD_OVERRIDE=FY","FILING_STATUS=MR","SCALING_FORMAT=MLN","Sort=A","Dates=H","DateFormat=P","Fill=—","Direction=H","UseDPDF=Y")</f>
        <v>-3176</v>
      </c>
      <c r="H24" s="27">
        <f>_xll.BDH("UNP US Equity","CAPITAL_EXPEND","FY 2012","FY 2012","Currency=USD","Period=FY","BEST_FPERIOD_OVERRIDE=FY","FILING_STATUS=MR","SCALING_FORMAT=MLN","Sort=A","Dates=H","DateFormat=P","Fill=—","Direction=H","UseDPDF=Y")</f>
        <v>-3738</v>
      </c>
      <c r="I24" s="27">
        <f>_xll.BDH("UNP US Equity","CAPITAL_EXPEND","FY 2013","FY 2013","Currency=USD","Period=FY","BEST_FPERIOD_OVERRIDE=FY","FILING_STATUS=MR","SCALING_FORMAT=MLN","Sort=A","Dates=H","DateFormat=P","Fill=—","Direction=H","UseDPDF=Y")</f>
        <v>-3496</v>
      </c>
      <c r="J24" s="27">
        <f>_xll.BDH("UNP US Equity","CAPITAL_EXPEND","FY 2014","FY 2014","Currency=USD","Period=FY","BEST_FPERIOD_OVERRIDE=FY","FILING_STATUS=MR","SCALING_FORMAT=MLN","Sort=A","Dates=H","DateFormat=P","Fill=—","Direction=H","UseDPDF=Y")</f>
        <v>-4346</v>
      </c>
      <c r="K24" s="27">
        <f>_xll.BDH("UNP US Equity","CAPITAL_EXPEND","FY 2015","FY 2015","Currency=USD","Period=FY","BEST_FPERIOD_OVERRIDE=FY","FILING_STATUS=MR","SCALING_FORMAT=MLN","Sort=A","Dates=H","DateFormat=P","Fill=—","Direction=H","UseDPDF=Y")</f>
        <v>-4650</v>
      </c>
      <c r="L24" s="27">
        <f>_xll.BDH("UNP US Equity","CAPITAL_EXPEND","FY 2016","FY 2016","Currency=USD","Period=FY","BEST_FPERIOD_OVERRIDE=FY","FILING_STATUS=MR","SCALING_FORMAT=MLN","Sort=A","Dates=H","DateFormat=P","Fill=—","Direction=H","UseDPDF=Y")</f>
        <v>-3505</v>
      </c>
      <c r="M24" s="27">
        <v>-3130.75</v>
      </c>
      <c r="N24" s="27">
        <v>-3251</v>
      </c>
    </row>
    <row r="25" spans="1:14" x14ac:dyDescent="0.45">
      <c r="A25" s="26" t="s">
        <v>186</v>
      </c>
      <c r="B25" s="26" t="s">
        <v>187</v>
      </c>
      <c r="C25" s="27">
        <f>_xll.BDH("UNP US Equity","CF_FREE_CASH_FLOW","FY 2007","FY 2007","Currency=USD","Period=FY","BEST_FPERIOD_OVERRIDE=FY","FILING_STATUS=MR","SCALING_FORMAT=MLN","Sort=A","Dates=H","DateFormat=P","Fill=—","Direction=H","UseDPDF=Y")</f>
        <v>781</v>
      </c>
      <c r="D25" s="27">
        <f>_xll.BDH("UNP US Equity","CF_FREE_CASH_FLOW","FY 2008","FY 2008","Currency=USD","Period=FY","BEST_FPERIOD_OVERRIDE=FY","FILING_STATUS=MR","SCALING_FORMAT=MLN","Sort=A","Dates=H","DateFormat=P","Fill=—","Direction=H","UseDPDF=Y")</f>
        <v>1290</v>
      </c>
      <c r="E25" s="27">
        <f>_xll.BDH("UNP US Equity","CF_FREE_CASH_FLOW","FY 2009","FY 2009","Currency=USD","Period=FY","BEST_FPERIOD_OVERRIDE=FY","FILING_STATUS=MR","SCALING_FORMAT=MLN","Sort=A","Dates=H","DateFormat=P","Fill=—","Direction=H","UseDPDF=Y")</f>
        <v>850</v>
      </c>
      <c r="F25" s="27">
        <f>_xll.BDH("UNP US Equity","CF_FREE_CASH_FLOW","FY 2010","FY 2010","Currency=USD","Period=FY","BEST_FPERIOD_OVERRIDE=FY","FILING_STATUS=MR","SCALING_FORMAT=MLN","Sort=A","Dates=H","DateFormat=P","Fill=—","Direction=H","UseDPDF=Y")</f>
        <v>1623</v>
      </c>
      <c r="G25" s="27">
        <f>_xll.BDH("UNP US Equity","CF_FREE_CASH_FLOW","FY 2011","FY 2011","Currency=USD","Period=FY","BEST_FPERIOD_OVERRIDE=FY","FILING_STATUS=MR","SCALING_FORMAT=MLN","Sort=A","Dates=H","DateFormat=P","Fill=—","Direction=H","UseDPDF=Y")</f>
        <v>2697</v>
      </c>
      <c r="H25" s="27">
        <f>_xll.BDH("UNP US Equity","CF_FREE_CASH_FLOW","FY 2012","FY 2012","Currency=USD","Period=FY","BEST_FPERIOD_OVERRIDE=FY","FILING_STATUS=MR","SCALING_FORMAT=MLN","Sort=A","Dates=H","DateFormat=P","Fill=—","Direction=H","UseDPDF=Y")</f>
        <v>2423</v>
      </c>
      <c r="I25" s="27">
        <f>_xll.BDH("UNP US Equity","CF_FREE_CASH_FLOW","FY 2013","FY 2013","Currency=USD","Period=FY","BEST_FPERIOD_OVERRIDE=FY","FILING_STATUS=MR","SCALING_FORMAT=MLN","Sort=A","Dates=H","DateFormat=P","Fill=—","Direction=H","UseDPDF=Y")</f>
        <v>3327</v>
      </c>
      <c r="J25" s="27">
        <f>_xll.BDH("UNP US Equity","CF_FREE_CASH_FLOW","FY 2014","FY 2014","Currency=USD","Period=FY","BEST_FPERIOD_OVERRIDE=FY","FILING_STATUS=MR","SCALING_FORMAT=MLN","Sort=A","Dates=H","DateFormat=P","Fill=—","Direction=H","UseDPDF=Y")</f>
        <v>3039</v>
      </c>
      <c r="K25" s="27">
        <f>_xll.BDH("UNP US Equity","CF_FREE_CASH_FLOW","FY 2015","FY 2015","Currency=USD","Period=FY","BEST_FPERIOD_OVERRIDE=FY","FILING_STATUS=MR","SCALING_FORMAT=MLN","Sort=A","Dates=H","DateFormat=P","Fill=—","Direction=H","UseDPDF=Y")</f>
        <v>2694</v>
      </c>
      <c r="L25" s="27">
        <f>_xll.BDH("UNP US Equity","CF_FREE_CASH_FLOW","FY 2016","FY 2016","Currency=USD","Period=FY","BEST_FPERIOD_OVERRIDE=FY","FILING_STATUS=MR","SCALING_FORMAT=MLN","Sort=A","Dates=H","DateFormat=P","Fill=—","Direction=H","UseDPDF=Y")</f>
        <v>4020</v>
      </c>
      <c r="M25" s="27">
        <v>3858.8209999999999</v>
      </c>
      <c r="N25" s="27">
        <v>4138.835</v>
      </c>
    </row>
    <row r="26" spans="1:14" x14ac:dyDescent="0.45">
      <c r="A26" s="34" t="s">
        <v>136</v>
      </c>
      <c r="B26" s="34" t="s">
        <v>137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</vt:lpstr>
      <vt:lpstr>UNP Bloomberg Segment Revenue</vt:lpstr>
      <vt:lpstr>UNP Bloomberg Income Statement</vt:lpstr>
      <vt:lpstr>UNP Bloomberg Adj Highlights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Valentine</dc:creator>
  <cp:lastModifiedBy>James Valentine</cp:lastModifiedBy>
  <dcterms:created xsi:type="dcterms:W3CDTF">2016-08-07T19:52:11Z</dcterms:created>
  <dcterms:modified xsi:type="dcterms:W3CDTF">2017-08-11T13:12:09Z</dcterms:modified>
</cp:coreProperties>
</file>